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1880" activeTab="0"/>
  </bookViews>
  <sheets>
    <sheet name="August  2021 Board Report " sheetId="1" r:id="rId1"/>
  </sheets>
  <definedNames>
    <definedName name="_xlnm.Print_Area" localSheetId="0">'August  2021 Board Report '!$A$1:$J$27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<sst xmlns="http://schemas.openxmlformats.org/spreadsheetml/2006/main" count="28" uniqueCount="28">
  <si>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Central Workforce Development Board</t>
  </si>
  <si>
    <t>Grants</t>
  </si>
  <si>
    <t>Program Name                   Fiscal Year</t>
  </si>
  <si>
    <t>Total Grant Award</t>
  </si>
  <si>
    <t>Year to Date Expenses</t>
  </si>
  <si>
    <t>Fund Remaining</t>
  </si>
  <si>
    <t>% Remaing of Fund</t>
  </si>
  <si>
    <t>Admin Available</t>
  </si>
  <si>
    <t>Program Availiable</t>
  </si>
  <si>
    <t>Program % of Program</t>
  </si>
  <si>
    <t>Dislocated Worker PY20   7/1/2020-6/30/2022</t>
  </si>
  <si>
    <t>Dislocated Worker FY21  10/1/2020-6/30/2022</t>
  </si>
  <si>
    <t>Youth PY20                           4/1/2020-6/30/2022</t>
  </si>
  <si>
    <t>Covid NDWG                           4/1/2020-6/30/2022</t>
  </si>
  <si>
    <t>EO-Youth 15%                 7/1/2020-6/30/2021</t>
  </si>
  <si>
    <t>Operational  % of Program</t>
  </si>
  <si>
    <t>Total Adult PY20/FY21</t>
  </si>
  <si>
    <t>Dislocated Worker PY20/FY21</t>
  </si>
  <si>
    <t>Total of All WIOA PY20/FY21</t>
  </si>
  <si>
    <t>Adult FY21     10/1/20 - 6/30/22</t>
  </si>
  <si>
    <t>This should be no more than 70%</t>
  </si>
  <si>
    <t>Youth PY21                           4/1/2021-6/30/2023</t>
  </si>
  <si>
    <t>Aspire                                   12/1/2019 - 6/30/2022</t>
  </si>
  <si>
    <t>Summary by Grant/Fund for periods July 1, 2020 to August 31, 2021</t>
  </si>
  <si>
    <t>Operational for Program still remains high, will work with Subcontractor to increase participant expenditures.  Work experience for this program year is at 19.3% and needs to be at 20% by the end of 6/2022.  Will work with subcontractor to increase in this area also.</t>
  </si>
  <si>
    <t>Adult PY21       7/1/21 - 6/30/23</t>
  </si>
  <si>
    <t>Adult FY22     10/1/21 - 6/30/23</t>
  </si>
  <si>
    <t>MoWorks Together           10/1/2018-9/30/2022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</si>
</sst>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</fills>
  <borders count="13">
    <border>
      <left/>
      <right/>
      <top/>
      <bottom/>
      <diagonal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horizontal="center"/>
    </xf>
    <xf numFmtId="44" fontId="0" fillId="0" borderId="1" xfId="16" applyFont="1" applyBorder="1"/>
    <xf numFmtId="10" fontId="0" fillId="0" borderId="1" xfId="15" applyNumberFormat="1" applyFont="1" applyBorder="1"/>
    <xf numFmtId="10" fontId="0" fillId="0" borderId="2" xfId="15" applyNumberFormat="1" applyFont="1" applyBorder="1"/>
    <xf numFmtId="44" fontId="0" fillId="0" borderId="0" xfId="16" applyFont="1" applyBorder="1"/>
    <xf numFmtId="10" fontId="0" fillId="0" borderId="0" xfId="15" applyNumberFormat="1" applyFont="1" applyBorder="1"/>
    <xf numFmtId="44" fontId="0" fillId="0" borderId="1" xfId="16" applyFont="1" applyFill="1" applyBorder="1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wrapText="1"/>
    </xf>
    <xf numFmtId="44" fontId="0" fillId="0" borderId="0" xfId="16" applyFont="1" applyFill="1" applyBorder="1"/>
    <xf numFmtId="44" fontId="0" fillId="0" borderId="3" xfId="16" applyFont="1" applyBorder="1"/>
    <xf numFmtId="10" fontId="0" fillId="0" borderId="3" xfId="15" applyNumberFormat="1" applyFont="1" applyBorder="1"/>
    <xf numFmtId="10" fontId="0" fillId="0" borderId="4" xfId="15" applyNumberFormat="1" applyFont="1" applyBorder="1"/>
    <xf numFmtId="0" fontId="0" fillId="0" borderId="5" xfId="0" applyBorder="1"/>
    <xf numFmtId="44" fontId="0" fillId="0" borderId="6" xfId="16" applyFont="1" applyBorder="1"/>
    <xf numFmtId="10" fontId="0" fillId="0" borderId="6" xfId="15" applyNumberFormat="1" applyFont="1" applyBorder="1"/>
    <xf numFmtId="10" fontId="0" fillId="0" borderId="7" xfId="15" applyNumberFormat="1" applyFont="1" applyBorder="1"/>
    <xf numFmtId="44" fontId="0" fillId="0" borderId="3" xfId="16" applyFont="1" applyFill="1" applyBorder="1"/>
    <xf numFmtId="44" fontId="0" fillId="0" borderId="6" xfId="16" applyFont="1" applyFill="1" applyBorder="1"/>
    <xf numFmtId="44" fontId="0" fillId="0" borderId="8" xfId="16" applyFont="1" applyBorder="1"/>
    <xf numFmtId="10" fontId="0" fillId="0" borderId="8" xfId="15" applyNumberFormat="1" applyFont="1" applyBorder="1"/>
    <xf numFmtId="10" fontId="0" fillId="0" borderId="9" xfId="15" applyNumberFormat="1" applyFont="1" applyBorder="1"/>
    <xf numFmtId="44" fontId="0" fillId="0" borderId="8" xfId="16" applyFont="1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2" borderId="12" xfId="0" applyFill="1" applyBorder="1"/>
    <xf numFmtId="44" fontId="0" fillId="2" borderId="8" xfId="16" applyFont="1" applyFill="1" applyBorder="1"/>
    <xf numFmtId="0" fontId="0" fillId="2" borderId="12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44" fontId="0" fillId="2" borderId="1" xfId="16" applyFont="1" applyFill="1" applyBorder="1"/>
    <xf numFmtId="0" fontId="0" fillId="3" borderId="10" xfId="0" applyFill="1" applyBorder="1" applyAlignment="1">
      <alignment wrapText="1"/>
    </xf>
    <xf numFmtId="44" fontId="0" fillId="3" borderId="1" xfId="16" applyFont="1" applyFill="1" applyBorder="1"/>
    <xf numFmtId="10" fontId="0" fillId="3" borderId="1" xfId="15" applyNumberFormat="1" applyFont="1" applyFill="1" applyBorder="1"/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0" fontId="0" fillId="0" borderId="8" xfId="15" applyNumberFormat="1" applyFont="1" applyFill="1" applyBorder="1"/>
    <xf numFmtId="10" fontId="0" fillId="0" borderId="1" xfId="15" applyNumberFormat="1" applyFont="1" applyFill="1" applyBorder="1"/>
    <xf numFmtId="0" fontId="0" fillId="0" borderId="0" xfId="0" applyAlignment="1">
      <alignment wrapText="1"/>
    </xf>
    <xf numFmtId="10" fontId="0" fillId="0" borderId="6" xfId="15" applyNumberFormat="1" applyFont="1" applyFill="1" applyBorder="1"/>
    <xf numFmtId="0" fontId="0" fillId="0" borderId="0" xfId="0" applyFill="1" applyAlignment="1">
      <alignment wrapText="1"/>
    </xf>
    <xf numFmtId="0" fontId="0" fillId="0" borderId="12" xfId="0" applyBorder="1"/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workbookViewId="0" topLeftCell="A1">
      <pane ySplit="7" topLeftCell="A26" activePane="bottomLeft" state="frozen"/>
      <selection pane="bottomLeft" activeCell="C44" sqref="C44"/>
    </sheetView>
  </sheetViews>
  <sheetFormatPr defaultColWidth="9.140625" defaultRowHeight="15"/>
  <cols>
    <col min="1" max="1" width="27.140625" style="0" bestFit="1" customWidth="1"/>
    <col min="2" max="4" width="14.28125" style="0" bestFit="1" customWidth="1"/>
    <col min="5" max="5" width="12.7109375" style="0" customWidth="1"/>
    <col min="6" max="6" width="12.57421875" style="0" bestFit="1" customWidth="1"/>
    <col min="7" max="7" width="14.28125" style="0" bestFit="1" customWidth="1"/>
    <col min="8" max="8" width="14.7109375" style="0" customWidth="1"/>
    <col min="9" max="9" width="15.00390625" style="0" customWidth="1"/>
    <col min="10" max="10" width="52.7109375" style="0" customWidth="1"/>
  </cols>
  <sheetData>
    <row r="1" spans="1:9" ht="21">
      <c r="A1" s="50" t="s">
        <v>0</v>
      </c>
      <c r="B1" s="50"/>
      <c r="C1" s="50"/>
      <c r="D1" s="50"/>
      <c r="E1" s="50"/>
      <c r="F1" s="50"/>
      <c r="G1" s="50"/>
      <c r="H1" s="50"/>
      <c r="I1" s="50"/>
    </row>
    <row r="2" spans="1:9" ht="21">
      <c r="A2" s="50" t="s">
        <v>1</v>
      </c>
      <c r="B2" s="50"/>
      <c r="C2" s="50"/>
      <c r="D2" s="50"/>
      <c r="E2" s="50"/>
      <c r="F2" s="50"/>
      <c r="G2" s="50"/>
      <c r="H2" s="50"/>
      <c r="I2" s="50"/>
    </row>
    <row r="3" spans="1:9" ht="21">
      <c r="A3" s="50" t="s">
        <v>23</v>
      </c>
      <c r="B3" s="50"/>
      <c r="C3" s="50"/>
      <c r="D3" s="50"/>
      <c r="E3" s="50"/>
      <c r="F3" s="50"/>
      <c r="G3" s="50"/>
      <c r="H3" s="50"/>
      <c r="I3" s="50"/>
    </row>
    <row r="4" spans="1:9" ht="21">
      <c r="A4" s="43"/>
      <c r="B4" s="43"/>
      <c r="C4" s="50"/>
      <c r="D4" s="50"/>
      <c r="E4" s="50"/>
      <c r="F4" s="50"/>
      <c r="G4" s="43"/>
      <c r="H4" s="43"/>
      <c r="I4" s="43"/>
    </row>
    <row r="5" spans="1:9" ht="21">
      <c r="A5" s="1"/>
      <c r="B5" s="1"/>
      <c r="C5" s="1"/>
      <c r="D5" s="1"/>
      <c r="E5" s="1"/>
      <c r="F5" s="1"/>
      <c r="G5" s="1"/>
      <c r="H5" s="1"/>
      <c r="I5" s="1"/>
    </row>
    <row r="6" spans="1:9" ht="46.5">
      <c r="A6" s="1"/>
      <c r="B6" s="1"/>
      <c r="C6" s="1"/>
      <c r="D6" s="1"/>
      <c r="E6" s="1"/>
      <c r="F6" s="1"/>
      <c r="G6" s="1"/>
      <c r="H6" s="42" t="s">
        <v>20</v>
      </c>
      <c r="I6" s="42"/>
    </row>
    <row r="7" spans="1:9" ht="30">
      <c r="A7" s="12" t="s">
        <v>2</v>
      </c>
      <c r="B7" s="12" t="s">
        <v>3</v>
      </c>
      <c r="C7" s="12" t="s">
        <v>4</v>
      </c>
      <c r="D7" s="12" t="s">
        <v>5</v>
      </c>
      <c r="E7" s="12" t="s">
        <v>6</v>
      </c>
      <c r="F7" s="12" t="s">
        <v>7</v>
      </c>
      <c r="G7" s="12" t="s">
        <v>8</v>
      </c>
      <c r="H7" s="12" t="s">
        <v>15</v>
      </c>
      <c r="I7" s="12" t="s">
        <v>9</v>
      </c>
    </row>
    <row r="8" spans="1:10" ht="15.75" thickBot="1">
      <c r="A8" s="18" t="s">
        <v>19</v>
      </c>
      <c r="B8" s="19">
        <v>595804</v>
      </c>
      <c r="C8" s="19">
        <v>516801.69</v>
      </c>
      <c r="D8" s="19">
        <f aca="true" t="shared" si="0" ref="D8:D26">B8-C8</f>
        <v>79002.31</v>
      </c>
      <c r="E8" s="20">
        <f aca="true" t="shared" si="1" ref="E8:E26">D8/B8</f>
        <v>0.13259781740303858</v>
      </c>
      <c r="F8" s="19">
        <f>59580-54377.19</f>
        <v>5202.809999999998</v>
      </c>
      <c r="G8" s="19">
        <f>536224-462424.5</f>
        <v>73799.5</v>
      </c>
      <c r="H8" s="47">
        <f>(229075.45+78066.76+7175.11)/462424.5</f>
        <v>0.6797159752565013</v>
      </c>
      <c r="I8" s="21">
        <f>(116274.41+4938.39+14220.36+12674.025)/462424.5</f>
        <v>0.32028403555607454</v>
      </c>
      <c r="J8" s="48"/>
    </row>
    <row r="9" spans="1:10" ht="15.75" thickBot="1">
      <c r="A9" s="49" t="s">
        <v>25</v>
      </c>
      <c r="B9" s="24">
        <v>210879</v>
      </c>
      <c r="C9" s="24">
        <v>24652.14</v>
      </c>
      <c r="D9" s="24">
        <f>B9-C9</f>
        <v>186226.86</v>
      </c>
      <c r="E9" s="25">
        <f>D9/B9</f>
        <v>0.8830981747826953</v>
      </c>
      <c r="F9" s="24">
        <f>21085-0</f>
        <v>21085</v>
      </c>
      <c r="G9" s="24">
        <f>189794-24652.14</f>
        <v>165141.86</v>
      </c>
      <c r="H9" s="44">
        <f>(24280.53+371.61)/24652.14</f>
        <v>1</v>
      </c>
      <c r="I9" s="26"/>
      <c r="J9" s="48"/>
    </row>
    <row r="10" spans="1:10" ht="15.75" thickBot="1">
      <c r="A10" s="49" t="s">
        <v>26</v>
      </c>
      <c r="B10" s="24"/>
      <c r="C10" s="24"/>
      <c r="D10" s="24"/>
      <c r="E10" s="25"/>
      <c r="F10" s="24"/>
      <c r="G10" s="24"/>
      <c r="H10" s="44"/>
      <c r="I10" s="26"/>
      <c r="J10" s="48"/>
    </row>
    <row r="11" spans="1:9" ht="29.25" customHeight="1" thickBot="1">
      <c r="A11" s="34" t="s">
        <v>16</v>
      </c>
      <c r="B11" s="35">
        <f>SUM(B8:B10)</f>
        <v>806683</v>
      </c>
      <c r="C11" s="35">
        <f>SUM(C8:C10)</f>
        <v>541453.83</v>
      </c>
      <c r="D11" s="35">
        <f>SUM(D8:D10)</f>
        <v>265229.17</v>
      </c>
      <c r="E11" s="44"/>
      <c r="F11" s="24"/>
      <c r="G11" s="24"/>
      <c r="H11" s="25"/>
      <c r="I11" s="26"/>
    </row>
    <row r="12" spans="1:9" ht="15.75" thickBot="1">
      <c r="A12" s="11"/>
      <c r="B12" s="5"/>
      <c r="C12" s="5"/>
      <c r="D12" s="5"/>
      <c r="E12" s="6"/>
      <c r="F12" s="5"/>
      <c r="G12" s="5"/>
      <c r="H12" s="6"/>
      <c r="I12" s="6"/>
    </row>
    <row r="13" spans="1:9" ht="30">
      <c r="A13" s="31" t="s">
        <v>10</v>
      </c>
      <c r="B13" s="22">
        <v>130887</v>
      </c>
      <c r="C13" s="22">
        <v>130748.08</v>
      </c>
      <c r="D13" s="15">
        <f>B13-C13</f>
        <v>138.91999999999825</v>
      </c>
      <c r="E13" s="16">
        <f t="shared" si="1"/>
        <v>0.0010613735512312013</v>
      </c>
      <c r="F13" s="15">
        <f>13088-12949.08</f>
        <v>138.92000000000007</v>
      </c>
      <c r="G13" s="15">
        <f>117799-117799</f>
        <v>0</v>
      </c>
      <c r="H13" s="16">
        <f>(64458+1350.72+6268.3)/117799</f>
        <v>0.6118644470666135</v>
      </c>
      <c r="I13" s="17">
        <f>(40000+722+4999.98)/117799</f>
        <v>0.3881355529333865</v>
      </c>
    </row>
    <row r="14" spans="1:9" ht="30.75" thickBot="1">
      <c r="A14" s="32" t="s">
        <v>11</v>
      </c>
      <c r="B14" s="23">
        <v>589808</v>
      </c>
      <c r="C14" s="23">
        <v>270080.13</v>
      </c>
      <c r="D14" s="23">
        <f t="shared" si="0"/>
        <v>319727.87</v>
      </c>
      <c r="E14" s="20">
        <f t="shared" si="1"/>
        <v>0.5420880523831484</v>
      </c>
      <c r="F14" s="19">
        <f>58587-9292.63</f>
        <v>49294.37</v>
      </c>
      <c r="G14" s="23">
        <f>(430528+100300)-(270080.13+0)</f>
        <v>260747.87</v>
      </c>
      <c r="H14" s="20">
        <f>(111029.7+10687.34+32933.97)/(270080.13+0)</f>
        <v>0.5726115801262388</v>
      </c>
      <c r="I14" s="21">
        <f>(65099.45+22071.79+9100+14875.38+4282.5)/(270080.13+0)</f>
        <v>0.42738841987376114</v>
      </c>
    </row>
    <row r="15" spans="1:9" ht="30.75" thickBot="1">
      <c r="A15" s="36" t="s">
        <v>17</v>
      </c>
      <c r="B15" s="35">
        <f>B13+B14</f>
        <v>720695</v>
      </c>
      <c r="C15" s="35">
        <f>C13+C14</f>
        <v>400828.21</v>
      </c>
      <c r="D15" s="35">
        <f>D13+D14</f>
        <v>319866.79</v>
      </c>
      <c r="E15" s="44"/>
      <c r="F15" s="28"/>
      <c r="G15" s="27"/>
      <c r="H15" s="28"/>
      <c r="I15" s="29"/>
    </row>
    <row r="16" spans="1:9" ht="15.75" thickBot="1">
      <c r="A16" s="13"/>
      <c r="B16" s="14"/>
      <c r="C16" s="14"/>
      <c r="D16" s="14"/>
      <c r="E16" s="6"/>
      <c r="F16" s="10"/>
      <c r="G16" s="14"/>
      <c r="H16" s="10"/>
      <c r="I16" s="10"/>
    </row>
    <row r="17" spans="1:10" ht="75.75" thickBot="1">
      <c r="A17" s="37" t="s">
        <v>12</v>
      </c>
      <c r="B17" s="38">
        <v>873646</v>
      </c>
      <c r="C17" s="38">
        <v>783512.62</v>
      </c>
      <c r="D17" s="38">
        <f t="shared" si="0"/>
        <v>90133.38</v>
      </c>
      <c r="E17" s="45">
        <f t="shared" si="1"/>
        <v>0.10316922414799587</v>
      </c>
      <c r="F17" s="2">
        <f>77364.05-75483.62</f>
        <v>1880.4300000000076</v>
      </c>
      <c r="G17" s="2">
        <f>(297822.04+498459.91)-(278193.26+429835.74)</f>
        <v>88252.94999999995</v>
      </c>
      <c r="H17" s="3">
        <f>(182172.95+10030.2+6199+228181.33+14465.44+10935.24)/(278193.26+429835.74)</f>
        <v>0.6383695583090523</v>
      </c>
      <c r="I17" s="4">
        <f>(11435.35+57194.72+7507.86+2323.18+1330+990+75936.72+46671.54+19775.64+22535.9+9143.93+1200)/(278193.26+429835.74)</f>
        <v>0.36163044169094766</v>
      </c>
      <c r="J17" s="46" t="s">
        <v>24</v>
      </c>
    </row>
    <row r="18" spans="1:10" ht="34.5" customHeight="1" thickBot="1">
      <c r="A18" s="37" t="s">
        <v>21</v>
      </c>
      <c r="B18" s="38">
        <v>1463193</v>
      </c>
      <c r="C18" s="38">
        <v>41057.54</v>
      </c>
      <c r="D18" s="38">
        <f>B18-C18</f>
        <v>1422135.46</v>
      </c>
      <c r="E18" s="45">
        <f>D18/B18</f>
        <v>0.9719397646106835</v>
      </c>
      <c r="F18" s="2">
        <f>146319-16358.05</f>
        <v>129960.95</v>
      </c>
      <c r="G18" s="2">
        <f>(329000+987874)-(12058.68+12640.81)</f>
        <v>1292174.51</v>
      </c>
      <c r="H18" s="3">
        <f>(10417.2+1641.48+11760.14+880.67)/(12058.68+12640.81)</f>
        <v>1</v>
      </c>
      <c r="I18" s="4">
        <v>0</v>
      </c>
      <c r="J18" s="46"/>
    </row>
    <row r="19" spans="1:9" ht="34.5" customHeight="1" thickBot="1">
      <c r="A19" s="13"/>
      <c r="B19" s="14"/>
      <c r="C19" s="14"/>
      <c r="D19" s="14"/>
      <c r="E19" s="6"/>
      <c r="F19" s="5"/>
      <c r="G19" s="5"/>
      <c r="H19" s="6"/>
      <c r="I19" s="6"/>
    </row>
    <row r="20" spans="1:9" ht="15.75" thickBot="1">
      <c r="A20" s="39" t="s">
        <v>18</v>
      </c>
      <c r="B20" s="40">
        <f>B11+B15+B17</f>
        <v>2401024</v>
      </c>
      <c r="C20" s="40">
        <f>C11+C15+C17</f>
        <v>1725794.6600000001</v>
      </c>
      <c r="D20" s="40">
        <f>D11+D15+D17</f>
        <v>675229.34</v>
      </c>
      <c r="E20" s="41">
        <f>C20/B20</f>
        <v>0.7187744312426698</v>
      </c>
      <c r="F20" s="2"/>
      <c r="G20" s="2"/>
      <c r="H20" s="3"/>
      <c r="I20" s="4"/>
    </row>
    <row r="21" spans="1:9" ht="15.75" thickBot="1">
      <c r="A21" s="13"/>
      <c r="B21" s="14"/>
      <c r="C21" s="14"/>
      <c r="D21" s="14"/>
      <c r="E21" s="6"/>
      <c r="F21" s="5"/>
      <c r="G21" s="5"/>
      <c r="H21" s="6"/>
      <c r="I21" s="6"/>
    </row>
    <row r="22" spans="1:9" ht="30.75" thickBot="1">
      <c r="A22" s="33" t="s">
        <v>13</v>
      </c>
      <c r="B22" s="7">
        <v>90818</v>
      </c>
      <c r="C22" s="7">
        <v>90264.61</v>
      </c>
      <c r="D22" s="7">
        <f t="shared" si="0"/>
        <v>553.3899999999994</v>
      </c>
      <c r="E22" s="3">
        <f t="shared" si="1"/>
        <v>0.006093395582373532</v>
      </c>
      <c r="F22" s="2">
        <f>9081-8595.15</f>
        <v>485.85000000000036</v>
      </c>
      <c r="G22" s="2">
        <f>81737-81669.46</f>
        <v>67.5399999999936</v>
      </c>
      <c r="H22" s="8"/>
      <c r="I22" s="9"/>
    </row>
    <row r="23" spans="1:9" ht="15.75" thickBot="1">
      <c r="A23" s="13"/>
      <c r="B23" s="14"/>
      <c r="C23" s="14"/>
      <c r="D23" s="14"/>
      <c r="E23" s="6"/>
      <c r="F23" s="5"/>
      <c r="G23" s="5"/>
      <c r="H23" s="10"/>
      <c r="I23" s="10"/>
    </row>
    <row r="24" spans="1:9" ht="30.75" thickBot="1">
      <c r="A24" s="33" t="s">
        <v>27</v>
      </c>
      <c r="B24" s="7">
        <v>140848</v>
      </c>
      <c r="C24" s="7">
        <v>124652.21</v>
      </c>
      <c r="D24" s="7">
        <f t="shared" si="0"/>
        <v>16195.789999999994</v>
      </c>
      <c r="E24" s="3">
        <f t="shared" si="1"/>
        <v>0.11498771725548104</v>
      </c>
      <c r="F24" s="2">
        <f>14084-12125.66</f>
        <v>1958.3400000000001</v>
      </c>
      <c r="G24" s="2">
        <f>126764-112526.55</f>
        <v>14237.449999999997</v>
      </c>
      <c r="H24" s="8"/>
      <c r="I24" s="9"/>
    </row>
    <row r="25" spans="1:9" ht="15.75" thickBot="1">
      <c r="A25" s="13"/>
      <c r="B25" s="14"/>
      <c r="C25" s="14"/>
      <c r="D25" s="14"/>
      <c r="E25" s="6"/>
      <c r="F25" s="5"/>
      <c r="G25" s="5"/>
      <c r="H25" s="10"/>
      <c r="I25" s="10"/>
    </row>
    <row r="26" spans="1:9" ht="30.75" thickBot="1">
      <c r="A26" s="33" t="s">
        <v>14</v>
      </c>
      <c r="B26" s="7">
        <v>25000</v>
      </c>
      <c r="C26" s="7">
        <v>3940.5</v>
      </c>
      <c r="D26" s="7">
        <f t="shared" si="0"/>
        <v>21059.5</v>
      </c>
      <c r="E26" s="3">
        <f t="shared" si="1"/>
        <v>0.84238</v>
      </c>
      <c r="F26" s="2"/>
      <c r="G26" s="2"/>
      <c r="H26" s="8"/>
      <c r="I26" s="9"/>
    </row>
    <row r="27" ht="15.75" thickBot="1">
      <c r="E27" s="6"/>
    </row>
    <row r="28" spans="1:9" ht="34.5" customHeight="1" thickBot="1">
      <c r="A28" s="30" t="s">
        <v>22</v>
      </c>
      <c r="B28" s="2">
        <v>75815</v>
      </c>
      <c r="C28" s="2">
        <v>35878.86</v>
      </c>
      <c r="D28" s="2">
        <f>B28-C28</f>
        <v>39936.14</v>
      </c>
      <c r="E28" s="3">
        <f>D28/B28</f>
        <v>0.5267577656136648</v>
      </c>
      <c r="F28" s="2">
        <f>5000-3778.18</f>
        <v>1221.8200000000002</v>
      </c>
      <c r="G28" s="2">
        <f>70815-32100.68</f>
        <v>38714.32</v>
      </c>
      <c r="H28" s="8"/>
      <c r="I28" s="9"/>
    </row>
    <row r="29" ht="15">
      <c r="E29" s="6"/>
    </row>
    <row r="30" ht="15">
      <c r="E30" s="6"/>
    </row>
    <row r="31" ht="15">
      <c r="E31" s="6"/>
    </row>
    <row r="32" ht="15">
      <c r="E32" s="10"/>
    </row>
  </sheetData>
  <mergeCells count="4">
    <mergeCell ref="A1:I1"/>
    <mergeCell ref="A2:I2"/>
    <mergeCell ref="A3:I3"/>
    <mergeCell ref="C4:F4"/>
  </mergeCells>
  <printOptions/>
  <pageMargins left="0.2" right="0.2" top="0.75" bottom="0.75" header="0.3" footer="0.3"/>
  <pageSetup fitToHeight="1" fitToWidth="1" horizontalDpi="600" verticalDpi="6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SCWIB Fiscal</dc:creator>
  <cp:keywords/>
  <dc:description/>
  <cp:lastModifiedBy>Kevin</cp:lastModifiedBy>
  <cp:lastPrinted>2021-06-10T13:46:02Z</cp:lastPrinted>
  <dcterms:created xsi:type="dcterms:W3CDTF">2021-01-21T17:48:37Z</dcterms:created>
  <dcterms:modified xsi:type="dcterms:W3CDTF">2021-09-20T16:01:20Z</dcterms:modified>
  <cp:category/>
  <cp:version/>
  <cp:contentType/>
  <cp:contentStatus/>
</cp:coreProperties>
</file>