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activeTab="0"/>
  </bookViews>
  <sheets>
    <sheet name="11- 17-21 Board Meeting" sheetId="1" r:id="rId1"/>
  </sheets>
  <definedNames>
    <definedName name="_xlnm.Print_Area" localSheetId="0">'11- 17-21 Board Meeting'!$A$1:$J$28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<sst xmlns="http://schemas.openxmlformats.org/spreadsheetml/2006/main" count="29" uniqueCount="29">
  <si>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Central Workforce Development Board</t>
  </si>
  <si>
    <t>Grants</t>
  </si>
  <si>
    <t>Program Name                   Fiscal Year</t>
  </si>
  <si>
    <t>Total Grant Award</t>
  </si>
  <si>
    <t>Year to Date Expenses</t>
  </si>
  <si>
    <t>Fund Remaining</t>
  </si>
  <si>
    <t>% Remaing of Fund</t>
  </si>
  <si>
    <t>Admin Available</t>
  </si>
  <si>
    <t>Program Availiable</t>
  </si>
  <si>
    <t>Dislocated Worker PY20   7/1/2020-6/30/2022</t>
  </si>
  <si>
    <t>Dislocated Worker FY21  10/1/2020-6/30/2022</t>
  </si>
  <si>
    <t>Youth PY20                           4/1/2020-6/30/2022</t>
  </si>
  <si>
    <t>Covid NDWG                           4/1/2020-6/30/2022</t>
  </si>
  <si>
    <t>MoWorks Together           10/1/2018-9/30/2021</t>
  </si>
  <si>
    <t>EO-Youth 15%                 7/1/2020-6/30/2021</t>
  </si>
  <si>
    <t>Total Adult PY20/FY21</t>
  </si>
  <si>
    <t>Dislocated Worker PY20/FY21</t>
  </si>
  <si>
    <t>Total of All WIOA PY20/FY21</t>
  </si>
  <si>
    <t>Adult FY21     10/1/20 - 6/30/22</t>
  </si>
  <si>
    <t>This should be no more than 70%</t>
  </si>
  <si>
    <t>Youth PY21                           4/1/2021-6/30/2023</t>
  </si>
  <si>
    <t>Aspire                                   12/1/2019 - 6/30/2022</t>
  </si>
  <si>
    <t>Adult PY21       7/1/21 - 6/30/23</t>
  </si>
  <si>
    <t>Adult FY22     10/1/21 - 6/30/23</t>
  </si>
  <si>
    <t>Operational for Program still remains high, will work with Subcontractor to increase participant expenditures.  Work experience for this program year is at 19.42% and needs to be at 20% by the end of 6/2022.  Will work with subcontractor to increase in this area also.</t>
  </si>
  <si>
    <t>Move to Adult Expenses</t>
  </si>
  <si>
    <t>Summary by Grant/Fund for periods July 1, 2020 to October 31, 2021</t>
  </si>
  <si>
    <t>Operational  % of Program Spent</t>
  </si>
  <si>
    <t>Program % of Program Spent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</si>
</sst>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</fills>
  <borders count="19">
    <border>
      <left/>
      <right/>
      <top/>
      <bottom/>
      <diagonal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horizontal="center"/>
    </xf>
    <xf numFmtId="44" fontId="0" fillId="0" borderId="1" xfId="16" applyFont="1" applyBorder="1"/>
    <xf numFmtId="10" fontId="0" fillId="0" borderId="1" xfId="15" applyNumberFormat="1" applyFont="1" applyBorder="1"/>
    <xf numFmtId="10" fontId="0" fillId="0" borderId="2" xfId="15" applyNumberFormat="1" applyFont="1" applyBorder="1"/>
    <xf numFmtId="44" fontId="0" fillId="0" borderId="0" xfId="16" applyFont="1" applyBorder="1"/>
    <xf numFmtId="10" fontId="0" fillId="0" borderId="0" xfId="15" applyNumberFormat="1" applyFont="1" applyBorder="1"/>
    <xf numFmtId="44" fontId="0" fillId="0" borderId="1" xfId="16" applyFont="1" applyFill="1" applyBorder="1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wrapText="1"/>
    </xf>
    <xf numFmtId="44" fontId="0" fillId="0" borderId="0" xfId="16" applyFont="1" applyFill="1" applyBorder="1"/>
    <xf numFmtId="0" fontId="0" fillId="0" borderId="3" xfId="0" applyBorder="1"/>
    <xf numFmtId="44" fontId="0" fillId="0" borderId="4" xfId="16" applyFont="1" applyBorder="1"/>
    <xf numFmtId="10" fontId="0" fillId="0" borderId="4" xfId="15" applyNumberFormat="1" applyFont="1" applyBorder="1"/>
    <xf numFmtId="10" fontId="0" fillId="0" borderId="5" xfId="15" applyNumberFormat="1" applyFont="1" applyBorder="1"/>
    <xf numFmtId="44" fontId="0" fillId="0" borderId="6" xfId="16" applyFont="1" applyBorder="1"/>
    <xf numFmtId="10" fontId="0" fillId="0" borderId="6" xfId="15" applyNumberFormat="1" applyFont="1" applyBorder="1"/>
    <xf numFmtId="10" fontId="0" fillId="0" borderId="7" xfId="15" applyNumberFormat="1" applyFont="1" applyBorder="1"/>
    <xf numFmtId="44" fontId="0" fillId="0" borderId="6" xfId="16" applyFont="1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2" borderId="9" xfId="0" applyFill="1" applyBorder="1"/>
    <xf numFmtId="44" fontId="0" fillId="2" borderId="6" xfId="16" applyFont="1" applyFill="1" applyBorder="1"/>
    <xf numFmtId="0" fontId="0" fillId="2" borderId="9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44" fontId="0" fillId="2" borderId="1" xfId="16" applyFont="1" applyFill="1" applyBorder="1"/>
    <xf numFmtId="0" fontId="0" fillId="3" borderId="8" xfId="0" applyFill="1" applyBorder="1" applyAlignment="1">
      <alignment wrapText="1"/>
    </xf>
    <xf numFmtId="44" fontId="0" fillId="3" borderId="1" xfId="16" applyFont="1" applyFill="1" applyBorder="1"/>
    <xf numFmtId="10" fontId="0" fillId="3" borderId="1" xfId="15" applyNumberFormat="1" applyFont="1" applyFill="1" applyBorder="1"/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0" fontId="0" fillId="0" borderId="6" xfId="15" applyNumberFormat="1" applyFont="1" applyFill="1" applyBorder="1"/>
    <xf numFmtId="10" fontId="0" fillId="0" borderId="1" xfId="15" applyNumberFormat="1" applyFont="1" applyFill="1" applyBorder="1"/>
    <xf numFmtId="0" fontId="0" fillId="0" borderId="0" xfId="0" applyAlignment="1">
      <alignment wrapText="1"/>
    </xf>
    <xf numFmtId="10" fontId="0" fillId="0" borderId="4" xfId="15" applyNumberFormat="1" applyFont="1" applyFill="1" applyBorder="1"/>
    <xf numFmtId="0" fontId="0" fillId="0" borderId="0" xfId="0" applyFill="1" applyAlignment="1">
      <alignment wrapText="1"/>
    </xf>
    <xf numFmtId="0" fontId="0" fillId="0" borderId="9" xfId="0" applyBorder="1"/>
    <xf numFmtId="0" fontId="0" fillId="0" borderId="10" xfId="0" applyFill="1" applyBorder="1" applyAlignment="1">
      <alignment horizontal="center" wrapText="1"/>
    </xf>
    <xf numFmtId="44" fontId="0" fillId="0" borderId="11" xfId="16" applyFont="1" applyFill="1" applyBorder="1"/>
    <xf numFmtId="44" fontId="0" fillId="0" borderId="11" xfId="16" applyFont="1" applyBorder="1"/>
    <xf numFmtId="10" fontId="0" fillId="0" borderId="11" xfId="15" applyNumberFormat="1" applyFont="1" applyBorder="1"/>
    <xf numFmtId="10" fontId="0" fillId="0" borderId="12" xfId="15" applyNumberFormat="1" applyFont="1" applyBorder="1"/>
    <xf numFmtId="0" fontId="0" fillId="0" borderId="13" xfId="0" applyFill="1" applyBorder="1" applyAlignment="1">
      <alignment horizontal="center" wrapText="1"/>
    </xf>
    <xf numFmtId="44" fontId="0" fillId="0" borderId="14" xfId="16" applyFont="1" applyFill="1" applyBorder="1"/>
    <xf numFmtId="10" fontId="0" fillId="0" borderId="14" xfId="15" applyNumberFormat="1" applyFont="1" applyBorder="1"/>
    <xf numFmtId="44" fontId="0" fillId="0" borderId="14" xfId="16" applyFont="1" applyBorder="1"/>
    <xf numFmtId="10" fontId="0" fillId="0" borderId="15" xfId="15" applyNumberFormat="1" applyFont="1" applyBorder="1"/>
    <xf numFmtId="0" fontId="0" fillId="0" borderId="16" xfId="0" applyFill="1" applyBorder="1" applyAlignment="1">
      <alignment horizontal="center" wrapText="1"/>
    </xf>
    <xf numFmtId="44" fontId="0" fillId="0" borderId="17" xfId="16" applyFont="1" applyFill="1" applyBorder="1"/>
    <xf numFmtId="10" fontId="0" fillId="0" borderId="17" xfId="15" applyNumberFormat="1" applyFont="1" applyBorder="1"/>
    <xf numFmtId="44" fontId="0" fillId="0" borderId="17" xfId="16" applyFont="1" applyBorder="1"/>
    <xf numFmtId="10" fontId="0" fillId="0" borderId="18" xfId="15" applyNumberFormat="1" applyFont="1" applyBorder="1"/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workbookViewId="0" topLeftCell="A1">
      <pane ySplit="7" topLeftCell="A35" activePane="bottomLeft" state="frozen"/>
      <selection pane="bottomLeft" activeCell="R73" sqref="R73:R74"/>
    </sheetView>
  </sheetViews>
  <sheetFormatPr defaultColWidth="9.140625" defaultRowHeight="15"/>
  <cols>
    <col min="1" max="1" width="27.140625" style="0" bestFit="1" customWidth="1"/>
    <col min="2" max="4" width="14.28125" style="0" bestFit="1" customWidth="1"/>
    <col min="5" max="5" width="12.7109375" style="0" customWidth="1"/>
    <col min="6" max="6" width="12.57421875" style="0" bestFit="1" customWidth="1"/>
    <col min="7" max="7" width="15.00390625" style="0" bestFit="1" customWidth="1"/>
    <col min="8" max="8" width="14.7109375" style="0" customWidth="1"/>
    <col min="9" max="9" width="15.00390625" style="0" customWidth="1"/>
    <col min="10" max="10" width="52.7109375" style="0" customWidth="1"/>
  </cols>
  <sheetData>
    <row r="1" spans="1:9" ht="21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spans="1:9" ht="21">
      <c r="A2" s="58" t="s">
        <v>1</v>
      </c>
      <c r="B2" s="58"/>
      <c r="C2" s="58"/>
      <c r="D2" s="58"/>
      <c r="E2" s="58"/>
      <c r="F2" s="58"/>
      <c r="G2" s="58"/>
      <c r="H2" s="58"/>
      <c r="I2" s="58"/>
    </row>
    <row r="3" spans="1:9" ht="21">
      <c r="A3" s="58" t="s">
        <v>26</v>
      </c>
      <c r="B3" s="58"/>
      <c r="C3" s="58"/>
      <c r="D3" s="58"/>
      <c r="E3" s="58"/>
      <c r="F3" s="58"/>
      <c r="G3" s="58"/>
      <c r="H3" s="58"/>
      <c r="I3" s="58"/>
    </row>
    <row r="4" spans="1:9" ht="21">
      <c r="A4" s="36"/>
      <c r="B4" s="36"/>
      <c r="C4" s="58"/>
      <c r="D4" s="58"/>
      <c r="E4" s="58"/>
      <c r="F4" s="58"/>
      <c r="G4" s="36"/>
      <c r="H4" s="36"/>
      <c r="I4" s="36"/>
    </row>
    <row r="5" spans="1:9" ht="21">
      <c r="A5" s="1"/>
      <c r="B5" s="1"/>
      <c r="C5" s="1"/>
      <c r="D5" s="1"/>
      <c r="E5" s="1"/>
      <c r="F5" s="1"/>
      <c r="G5" s="1"/>
      <c r="H5" s="1"/>
      <c r="I5" s="1"/>
    </row>
    <row r="6" spans="1:9" ht="46.5">
      <c r="A6" s="1"/>
      <c r="B6" s="1"/>
      <c r="C6" s="1"/>
      <c r="D6" s="1"/>
      <c r="E6" s="1"/>
      <c r="F6" s="1"/>
      <c r="G6" s="1"/>
      <c r="H6" s="35" t="s">
        <v>19</v>
      </c>
      <c r="I6" s="35"/>
    </row>
    <row r="7" spans="1:9" ht="45">
      <c r="A7" s="12" t="s">
        <v>2</v>
      </c>
      <c r="B7" s="12" t="s">
        <v>3</v>
      </c>
      <c r="C7" s="12" t="s">
        <v>4</v>
      </c>
      <c r="D7" s="12" t="s">
        <v>5</v>
      </c>
      <c r="E7" s="12" t="s">
        <v>6</v>
      </c>
      <c r="F7" s="12" t="s">
        <v>7</v>
      </c>
      <c r="G7" s="12" t="s">
        <v>8</v>
      </c>
      <c r="H7" s="12" t="s">
        <v>27</v>
      </c>
      <c r="I7" s="12" t="s">
        <v>28</v>
      </c>
    </row>
    <row r="8" spans="1:10" ht="15.75" thickBot="1">
      <c r="A8" s="15" t="s">
        <v>18</v>
      </c>
      <c r="B8" s="16">
        <v>598253</v>
      </c>
      <c r="C8" s="16">
        <v>587988.19</v>
      </c>
      <c r="D8" s="16">
        <f aca="true" t="shared" si="0" ref="D8:D27">B8-C8</f>
        <v>10264.810000000056</v>
      </c>
      <c r="E8" s="17">
        <f aca="true" t="shared" si="1" ref="E8:E27">D8/B8</f>
        <v>0.017157974970455736</v>
      </c>
      <c r="F8" s="16">
        <f>59580-58113.21</f>
        <v>1466.7900000000009</v>
      </c>
      <c r="G8" s="16">
        <f>538673-529874.98</f>
        <v>8798.020000000019</v>
      </c>
      <c r="H8" s="40">
        <f>(233277.78+81186.289+7175.11)/538673</f>
        <v>0.5970954159573619</v>
      </c>
      <c r="I8" s="18">
        <f>(161864.21+7795.6+19188.87+19387.13)/538673</f>
        <v>0.3865718348608525</v>
      </c>
      <c r="J8" s="41"/>
    </row>
    <row r="9" spans="1:10" ht="15.75" thickBot="1">
      <c r="A9" s="42" t="s">
        <v>22</v>
      </c>
      <c r="B9" s="19">
        <v>210879</v>
      </c>
      <c r="C9" s="19">
        <v>63658.31</v>
      </c>
      <c r="D9" s="19">
        <f>B9-C9</f>
        <v>147220.69</v>
      </c>
      <c r="E9" s="20">
        <f>D9/B9</f>
        <v>0.6981287373327832</v>
      </c>
      <c r="F9" s="19">
        <f>21085-1651.32</f>
        <v>19433.68</v>
      </c>
      <c r="G9" s="19">
        <f>189794-62006.99</f>
        <v>127787.01000000001</v>
      </c>
      <c r="H9" s="37">
        <f>(51638.54+6662.89+1434.59)/189794</f>
        <v>0.31474135114914065</v>
      </c>
      <c r="I9" s="21">
        <f>(2270.97)/189794</f>
        <v>0.011965446747526264</v>
      </c>
      <c r="J9" s="41"/>
    </row>
    <row r="10" spans="1:10" ht="15.75" thickBot="1">
      <c r="A10" s="42" t="s">
        <v>23</v>
      </c>
      <c r="B10" s="19"/>
      <c r="C10" s="19"/>
      <c r="D10" s="19"/>
      <c r="E10" s="20"/>
      <c r="F10" s="19"/>
      <c r="G10" s="19"/>
      <c r="H10" s="37"/>
      <c r="I10" s="21"/>
      <c r="J10" s="41"/>
    </row>
    <row r="11" spans="1:9" ht="29.25" customHeight="1" thickBot="1">
      <c r="A11" s="27" t="s">
        <v>15</v>
      </c>
      <c r="B11" s="28">
        <f>SUM(B8:B10)</f>
        <v>809132</v>
      </c>
      <c r="C11" s="28">
        <f>SUM(C8:C10)</f>
        <v>651646.5</v>
      </c>
      <c r="D11" s="28">
        <f>SUM(D8:D10)</f>
        <v>157485.50000000006</v>
      </c>
      <c r="E11" s="37"/>
      <c r="F11" s="19"/>
      <c r="G11" s="19"/>
      <c r="H11" s="20"/>
      <c r="I11" s="21"/>
    </row>
    <row r="12" spans="1:9" ht="15.75" thickBot="1">
      <c r="A12" s="11"/>
      <c r="B12" s="5"/>
      <c r="C12" s="5"/>
      <c r="D12" s="5"/>
      <c r="E12" s="6"/>
      <c r="F12" s="5"/>
      <c r="G12" s="5"/>
      <c r="H12" s="6"/>
      <c r="I12" s="6"/>
    </row>
    <row r="13" spans="1:9" ht="30.75" thickBot="1">
      <c r="A13" s="43" t="s">
        <v>9</v>
      </c>
      <c r="B13" s="44">
        <v>130887</v>
      </c>
      <c r="C13" s="44">
        <v>130887</v>
      </c>
      <c r="D13" s="45">
        <f>B13-C13</f>
        <v>0</v>
      </c>
      <c r="E13" s="46">
        <f t="shared" si="1"/>
        <v>0</v>
      </c>
      <c r="F13" s="45">
        <f>13088-13088</f>
        <v>0</v>
      </c>
      <c r="G13" s="45">
        <f>117799-117799</f>
        <v>0</v>
      </c>
      <c r="H13" s="46">
        <f>(62458+1350.72+6268.3)/117799</f>
        <v>0.5948863742476592</v>
      </c>
      <c r="I13" s="47">
        <f>(42000+722+4999.98)/117799</f>
        <v>0.40511362575234083</v>
      </c>
    </row>
    <row r="14" spans="1:9" ht="30.75" customHeight="1">
      <c r="A14" s="48" t="s">
        <v>10</v>
      </c>
      <c r="B14" s="49">
        <f>589808-103551</f>
        <v>486257</v>
      </c>
      <c r="C14" s="49">
        <f>10761.86+322068.2</f>
        <v>332830.06</v>
      </c>
      <c r="D14" s="49">
        <f t="shared" si="0"/>
        <v>153426.94</v>
      </c>
      <c r="E14" s="50">
        <f t="shared" si="1"/>
        <v>0.3155264397222045</v>
      </c>
      <c r="F14" s="51">
        <f>58980-10761.86</f>
        <v>48218.14</v>
      </c>
      <c r="G14" s="49">
        <f>427277-322068.2</f>
        <v>105208.79999999999</v>
      </c>
      <c r="H14" s="50">
        <f>(137347.93+14350.25+36593.36)/427277</f>
        <v>0.4406779208803656</v>
      </c>
      <c r="I14" s="52">
        <f>(73178.45+24856.79+9750+17927.37+8064.05)/427277</f>
        <v>0.3130911797265005</v>
      </c>
    </row>
    <row r="15" spans="1:9" ht="15.75" thickBot="1">
      <c r="A15" s="53" t="s">
        <v>25</v>
      </c>
      <c r="B15" s="54">
        <v>103551</v>
      </c>
      <c r="C15" s="54">
        <v>103551</v>
      </c>
      <c r="D15" s="54"/>
      <c r="E15" s="55">
        <f>103551/530828</f>
        <v>0.19507448740458302</v>
      </c>
      <c r="F15" s="56"/>
      <c r="G15" s="54"/>
      <c r="H15" s="55"/>
      <c r="I15" s="57">
        <v>1</v>
      </c>
    </row>
    <row r="16" spans="1:9" ht="30.75" thickBot="1">
      <c r="A16" s="29" t="s">
        <v>16</v>
      </c>
      <c r="B16" s="28">
        <f>B13+B14</f>
        <v>617144</v>
      </c>
      <c r="C16" s="28">
        <f>C13+C14</f>
        <v>463717.06</v>
      </c>
      <c r="D16" s="28">
        <f>D13+D14</f>
        <v>153426.94</v>
      </c>
      <c r="E16" s="37"/>
      <c r="F16" s="23"/>
      <c r="G16" s="22"/>
      <c r="H16" s="23"/>
      <c r="I16" s="24"/>
    </row>
    <row r="17" spans="1:9" ht="15.75" thickBot="1">
      <c r="A17" s="13"/>
      <c r="B17" s="14"/>
      <c r="C17" s="14"/>
      <c r="D17" s="14"/>
      <c r="E17" s="6"/>
      <c r="F17" s="10"/>
      <c r="G17" s="14"/>
      <c r="H17" s="10"/>
      <c r="I17" s="10"/>
    </row>
    <row r="18" spans="1:10" ht="75.75" thickBot="1">
      <c r="A18" s="30" t="s">
        <v>11</v>
      </c>
      <c r="B18" s="31">
        <v>908083</v>
      </c>
      <c r="C18" s="31">
        <v>887225.25</v>
      </c>
      <c r="D18" s="31">
        <f t="shared" si="0"/>
        <v>20857.75</v>
      </c>
      <c r="E18" s="38">
        <f t="shared" si="1"/>
        <v>0.022968990720011278</v>
      </c>
      <c r="F18" s="2">
        <f>90807.47-90807.47</f>
        <v>0</v>
      </c>
      <c r="G18" s="2">
        <f>(322991.71+494283.82)-(322987.99+473429.79)</f>
        <v>20857.75</v>
      </c>
      <c r="H18" s="3">
        <f>(182172.95+10030.2+6199+228181.33+14465.44+10935.24)/(278193.26+429835.74)</f>
        <v>0.6383695583090523</v>
      </c>
      <c r="I18" s="4">
        <f>(11435.35+57194.72+7507.86+2323.18+1330+990+75936.72+46671.54+19775.64+22535.9+9143.93+1200)/(278193.26+429835.74)</f>
        <v>0.36163044169094766</v>
      </c>
      <c r="J18" s="39" t="s">
        <v>24</v>
      </c>
    </row>
    <row r="19" spans="1:10" ht="34.5" customHeight="1" thickBot="1">
      <c r="A19" s="30" t="s">
        <v>20</v>
      </c>
      <c r="B19" s="31">
        <v>1463193</v>
      </c>
      <c r="C19" s="31">
        <v>103037.33</v>
      </c>
      <c r="D19" s="31">
        <f>B19-C19</f>
        <v>1360155.67</v>
      </c>
      <c r="E19" s="38">
        <f>D19/B19</f>
        <v>0.9295804927989677</v>
      </c>
      <c r="F19" s="2">
        <f>146319-(4539.96+654.95)</f>
        <v>141124.09</v>
      </c>
      <c r="G19" s="2">
        <f>(329000+987874)-(40447.5+57394.92)</f>
        <v>1219031.58</v>
      </c>
      <c r="H19" s="3">
        <f>(33104.16+708.47+2448.41+31476.43+1526.84+1579.43)/(105000+25000+23500+350000+20000+81874)</f>
        <v>0.11702474833739142</v>
      </c>
      <c r="I19" s="4">
        <f>(1838.68+613.13+1538.19+196.46+22549+230.48+32.74)/(40000+58000+30000+10000+10000+9500+10000+165000+200000+60000+50000+29000+17000+10000)</f>
        <v>0.03865236936292055</v>
      </c>
      <c r="J19" s="39"/>
    </row>
    <row r="20" spans="1:9" ht="34.5" customHeight="1" thickBot="1">
      <c r="A20" s="13"/>
      <c r="B20" s="14"/>
      <c r="C20" s="14"/>
      <c r="D20" s="14"/>
      <c r="E20" s="6"/>
      <c r="F20" s="5"/>
      <c r="G20" s="5"/>
      <c r="H20" s="6"/>
      <c r="I20" s="6"/>
    </row>
    <row r="21" spans="1:9" ht="15.75" thickBot="1">
      <c r="A21" s="32" t="s">
        <v>17</v>
      </c>
      <c r="B21" s="33">
        <f>B11+B16+B18</f>
        <v>2334359</v>
      </c>
      <c r="C21" s="33">
        <f>C11+C16+C18</f>
        <v>2002588.81</v>
      </c>
      <c r="D21" s="33">
        <f>D11+D16+D18</f>
        <v>331770.19000000006</v>
      </c>
      <c r="E21" s="34">
        <f>C21/B21</f>
        <v>0.8578752496938132</v>
      </c>
      <c r="F21" s="2"/>
      <c r="G21" s="2"/>
      <c r="H21" s="3"/>
      <c r="I21" s="4"/>
    </row>
    <row r="22" spans="1:9" ht="15.75" thickBot="1">
      <c r="A22" s="13"/>
      <c r="B22" s="14"/>
      <c r="C22" s="14"/>
      <c r="D22" s="14"/>
      <c r="E22" s="6"/>
      <c r="F22" s="5"/>
      <c r="G22" s="5"/>
      <c r="H22" s="6"/>
      <c r="I22" s="6"/>
    </row>
    <row r="23" spans="1:9" ht="30.75" thickBot="1">
      <c r="A23" s="26" t="s">
        <v>12</v>
      </c>
      <c r="B23" s="7">
        <v>90818</v>
      </c>
      <c r="C23" s="7">
        <v>90640.09</v>
      </c>
      <c r="D23" s="7">
        <f t="shared" si="0"/>
        <v>177.9100000000035</v>
      </c>
      <c r="E23" s="3">
        <f t="shared" si="1"/>
        <v>0.001958972890836657</v>
      </c>
      <c r="F23" s="2">
        <f>9081-8591.05</f>
        <v>489.9500000000007</v>
      </c>
      <c r="G23" s="2">
        <f>81737-82049.04</f>
        <v>-312.0399999999936</v>
      </c>
      <c r="H23" s="8"/>
      <c r="I23" s="9"/>
    </row>
    <row r="24" spans="1:9" ht="15.75" thickBot="1">
      <c r="A24" s="13"/>
      <c r="B24" s="14"/>
      <c r="C24" s="14"/>
      <c r="D24" s="14"/>
      <c r="E24" s="6"/>
      <c r="F24" s="5"/>
      <c r="G24" s="5"/>
      <c r="H24" s="10"/>
      <c r="I24" s="10"/>
    </row>
    <row r="25" spans="1:9" ht="30.75" thickBot="1">
      <c r="A25" s="26" t="s">
        <v>13</v>
      </c>
      <c r="B25" s="7">
        <v>140848</v>
      </c>
      <c r="C25" s="7">
        <v>127196.08</v>
      </c>
      <c r="D25" s="7">
        <f t="shared" si="0"/>
        <v>13651.919999999998</v>
      </c>
      <c r="E25" s="3">
        <f t="shared" si="1"/>
        <v>0.09692661592638872</v>
      </c>
      <c r="F25" s="2">
        <f>14084-11612.65</f>
        <v>2471.3500000000004</v>
      </c>
      <c r="G25" s="2">
        <f>126764-115583.43</f>
        <v>11180.570000000007</v>
      </c>
      <c r="H25" s="8"/>
      <c r="I25" s="9"/>
    </row>
    <row r="26" spans="1:9" ht="15.75" thickBot="1">
      <c r="A26" s="13"/>
      <c r="B26" s="14"/>
      <c r="C26" s="14"/>
      <c r="D26" s="14"/>
      <c r="E26" s="6"/>
      <c r="F26" s="5"/>
      <c r="G26" s="5"/>
      <c r="H26" s="10"/>
      <c r="I26" s="10"/>
    </row>
    <row r="27" spans="1:9" ht="30.75" thickBot="1">
      <c r="A27" s="26" t="s">
        <v>14</v>
      </c>
      <c r="B27" s="7">
        <v>25000</v>
      </c>
      <c r="C27" s="7">
        <v>9348.62</v>
      </c>
      <c r="D27" s="7">
        <f t="shared" si="0"/>
        <v>15651.38</v>
      </c>
      <c r="E27" s="3">
        <f t="shared" si="1"/>
        <v>0.6260551999999999</v>
      </c>
      <c r="F27" s="2"/>
      <c r="G27" s="2"/>
      <c r="H27" s="8"/>
      <c r="I27" s="9"/>
    </row>
    <row r="28" ht="15.75" thickBot="1">
      <c r="E28" s="6"/>
    </row>
    <row r="29" spans="1:9" ht="34.5" customHeight="1" thickBot="1">
      <c r="A29" s="25" t="s">
        <v>21</v>
      </c>
      <c r="B29" s="2">
        <v>75815</v>
      </c>
      <c r="C29" s="2">
        <v>36563.31</v>
      </c>
      <c r="D29" s="2">
        <f>B29-C29</f>
        <v>39251.69</v>
      </c>
      <c r="E29" s="3">
        <f>D29/B29</f>
        <v>0.5177298687594803</v>
      </c>
      <c r="F29" s="2">
        <f>5000-3747.11</f>
        <v>1252.8899999999999</v>
      </c>
      <c r="G29" s="2">
        <f>70815-32816.2</f>
        <v>37998.8</v>
      </c>
      <c r="H29" s="8"/>
      <c r="I29" s="9"/>
    </row>
    <row r="30" ht="15">
      <c r="E30" s="6"/>
    </row>
    <row r="31" ht="15">
      <c r="E31" s="6"/>
    </row>
    <row r="32" ht="15">
      <c r="E32" s="6"/>
    </row>
    <row r="33" ht="15">
      <c r="E33" s="10"/>
    </row>
  </sheetData>
  <mergeCells count="4">
    <mergeCell ref="A1:I1"/>
    <mergeCell ref="A2:I2"/>
    <mergeCell ref="A3:I3"/>
    <mergeCell ref="C4:F4"/>
  </mergeCells>
  <printOptions/>
  <pageMargins left="0.2" right="0.2" top="0.75" bottom="0.75" header="0.3" footer="0.3"/>
  <pageSetup fitToHeight="1" fitToWidth="1" horizontalDpi="600" verticalDpi="6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SCWIB Fiscal</dc:creator>
  <cp:keywords/>
  <dc:description/>
  <cp:lastModifiedBy>Kevin</cp:lastModifiedBy>
  <cp:lastPrinted>2021-06-10T13:46:02Z</cp:lastPrinted>
  <dcterms:created xsi:type="dcterms:W3CDTF">2021-01-21T17:48:37Z</dcterms:created>
  <dcterms:modified xsi:type="dcterms:W3CDTF">2021-11-12T19:51:51Z</dcterms:modified>
  <cp:category/>
  <cp:version/>
  <cp:contentType/>
  <cp:contentStatus/>
</cp:coreProperties>
</file>