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00" activeTab="0"/>
  </bookViews>
  <sheets>
    <sheet name="2022 Board Report" sheetId="1" r:id="rId1"/>
  </sheets>
  <definedNames>
    <definedName name="_xlnm.Print_Area" localSheetId="0">'2022 Board Report'!$A$1:$J$30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<sst xmlns="http://schemas.openxmlformats.org/spreadsheetml/2006/main" count="33" uniqueCount="33">
  <si>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Central Workforce Development Board</t>
  </si>
  <si>
    <t>Grants</t>
  </si>
  <si>
    <t>Program Name                   Fiscal Year</t>
  </si>
  <si>
    <t>Total Grant Award</t>
  </si>
  <si>
    <t>Year to Date Expenses</t>
  </si>
  <si>
    <t>Fund Remaining</t>
  </si>
  <si>
    <t>% Remaing of Fund</t>
  </si>
  <si>
    <t>Admin Available</t>
  </si>
  <si>
    <t>Program Availiable</t>
  </si>
  <si>
    <t>Dislocated Worker PY20   7/1/2020-6/30/2022</t>
  </si>
  <si>
    <t>Dislocated Worker FY21  10/1/2020-6/30/2022</t>
  </si>
  <si>
    <t>Youth PY20                           4/1/2020-6/30/2022</t>
  </si>
  <si>
    <t>Covid NDWG                           4/1/2020-6/30/2022</t>
  </si>
  <si>
    <t>MoWorks Together           10/1/2018-9/30/2021</t>
  </si>
  <si>
    <t>EO-Youth 15%                 7/1/2020-6/30/2021</t>
  </si>
  <si>
    <t>Total of All WIOA PY20/FY21</t>
  </si>
  <si>
    <t>Adult FY21     10/1/20 - 6/30/22</t>
  </si>
  <si>
    <t>Youth PY21                           4/1/2021-6/30/2023</t>
  </si>
  <si>
    <t>Aspire                                   12/1/2019 - 6/30/2022</t>
  </si>
  <si>
    <t>Adult PY21       7/1/21 - 6/30/23</t>
  </si>
  <si>
    <t>Move to Adult Expenses</t>
  </si>
  <si>
    <t>Operational  % of Program Spent</t>
  </si>
  <si>
    <t>Program % of Program Spent</t>
  </si>
  <si>
    <t>Work experience for this program year is at 20.70% and meets the 20% requirement for this PY20 Funding Source</t>
  </si>
  <si>
    <t>Dislocated Worker PY21   7/1/2021-6/30/2023</t>
  </si>
  <si>
    <t>Dislocated Worker FY22  10/1/2021-6/30/2023</t>
  </si>
  <si>
    <t>This should be no more than 60%</t>
  </si>
  <si>
    <t>Adult FY22     7/1/21 - 6/30/23</t>
  </si>
  <si>
    <t>Transfer Dislocated Worker PY22   7/1/2021-6/30/2023</t>
  </si>
  <si>
    <t>Total Dislocated Worker</t>
  </si>
  <si>
    <t xml:space="preserve">Total Adult </t>
  </si>
  <si>
    <t>Summary by Grant/Fund for periods July 1, 2021 to May 31, 2022</t>
  </si>
  <si>
    <t>Work Experience is currently at 10.57%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</si>
</sst>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EB8C5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44" fontId="0" fillId="0" borderId="1" xfId="16" applyFont="1" applyBorder="1"/>
    <xf numFmtId="10" fontId="0" fillId="0" borderId="1" xfId="15" applyNumberFormat="1" applyFont="1" applyBorder="1"/>
    <xf numFmtId="10" fontId="0" fillId="0" borderId="2" xfId="15" applyNumberFormat="1" applyFont="1" applyBorder="1"/>
    <xf numFmtId="44" fontId="0" fillId="0" borderId="0" xfId="16" applyFont="1" applyBorder="1"/>
    <xf numFmtId="10" fontId="0" fillId="0" borderId="0" xfId="15" applyNumberFormat="1" applyFont="1" applyBorder="1"/>
    <xf numFmtId="44" fontId="0" fillId="0" borderId="1" xfId="16" applyFont="1" applyFill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44" fontId="0" fillId="0" borderId="0" xfId="16" applyFont="1" applyFill="1" applyBorder="1"/>
    <xf numFmtId="44" fontId="0" fillId="0" borderId="3" xfId="16" applyFont="1" applyBorder="1"/>
    <xf numFmtId="10" fontId="0" fillId="0" borderId="3" xfId="15" applyNumberFormat="1" applyFont="1" applyBorder="1"/>
    <xf numFmtId="10" fontId="0" fillId="0" borderId="4" xfId="15" applyNumberFormat="1" applyFont="1" applyBorder="1"/>
    <xf numFmtId="44" fontId="0" fillId="0" borderId="3" xfId="16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2" borderId="6" xfId="0" applyFill="1" applyBorder="1"/>
    <xf numFmtId="44" fontId="0" fillId="2" borderId="3" xfId="16" applyFont="1" applyFill="1" applyBorder="1"/>
    <xf numFmtId="0" fontId="0" fillId="2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44" fontId="0" fillId="2" borderId="1" xfId="16" applyFont="1" applyFill="1" applyBorder="1"/>
    <xf numFmtId="0" fontId="0" fillId="3" borderId="5" xfId="0" applyFill="1" applyBorder="1" applyAlignment="1">
      <alignment wrapText="1"/>
    </xf>
    <xf numFmtId="44" fontId="0" fillId="3" borderId="1" xfId="16" applyFont="1" applyFill="1" applyBorder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0" fontId="0" fillId="0" borderId="3" xfId="15" applyNumberFormat="1" applyFont="1" applyFill="1" applyBorder="1"/>
    <xf numFmtId="10" fontId="0" fillId="0" borderId="1" xfId="15" applyNumberFormat="1" applyFont="1" applyFill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7" xfId="0" applyFill="1" applyBorder="1" applyAlignment="1">
      <alignment horizontal="center" wrapText="1"/>
    </xf>
    <xf numFmtId="44" fontId="0" fillId="0" borderId="8" xfId="16" applyFont="1" applyFill="1" applyBorder="1"/>
    <xf numFmtId="10" fontId="0" fillId="0" borderId="8" xfId="15" applyNumberFormat="1" applyFont="1" applyBorder="1"/>
    <xf numFmtId="44" fontId="0" fillId="0" borderId="8" xfId="16" applyFont="1" applyBorder="1"/>
    <xf numFmtId="10" fontId="0" fillId="0" borderId="9" xfId="15" applyNumberFormat="1" applyFont="1" applyBorder="1"/>
    <xf numFmtId="0" fontId="0" fillId="0" borderId="6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4" borderId="12" xfId="0" applyFill="1" applyBorder="1"/>
    <xf numFmtId="44" fontId="0" fillId="4" borderId="13" xfId="16" applyFont="1" applyFill="1" applyBorder="1"/>
    <xf numFmtId="10" fontId="0" fillId="4" borderId="13" xfId="15" applyNumberFormat="1" applyFont="1" applyFill="1" applyBorder="1"/>
    <xf numFmtId="10" fontId="0" fillId="4" borderId="14" xfId="15" applyNumberFormat="1" applyFont="1" applyFill="1" applyBorder="1"/>
    <xf numFmtId="0" fontId="0" fillId="4" borderId="11" xfId="0" applyFill="1" applyBorder="1" applyAlignment="1">
      <alignment horizontal="center" wrapText="1"/>
    </xf>
    <xf numFmtId="44" fontId="0" fillId="4" borderId="15" xfId="16" applyFont="1" applyFill="1" applyBorder="1"/>
    <xf numFmtId="10" fontId="0" fillId="4" borderId="15" xfId="15" applyNumberFormat="1" applyFont="1" applyFill="1" applyBorder="1"/>
    <xf numFmtId="10" fontId="0" fillId="4" borderId="16" xfId="15" applyNumberFormat="1" applyFont="1" applyFill="1" applyBorder="1"/>
    <xf numFmtId="0" fontId="0" fillId="4" borderId="5" xfId="0" applyFill="1" applyBorder="1" applyAlignment="1">
      <alignment horizontal="center" wrapText="1"/>
    </xf>
    <xf numFmtId="44" fontId="0" fillId="4" borderId="1" xfId="16" applyFont="1" applyFill="1" applyBorder="1"/>
    <xf numFmtId="10" fontId="0" fillId="4" borderId="1" xfId="15" applyNumberFormat="1" applyFont="1" applyFill="1" applyBorder="1"/>
    <xf numFmtId="10" fontId="0" fillId="4" borderId="2" xfId="15" applyNumberFormat="1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6" xfId="0" applyFill="1" applyBorder="1"/>
    <xf numFmtId="44" fontId="0" fillId="4" borderId="3" xfId="16" applyFont="1" applyFill="1" applyBorder="1"/>
    <xf numFmtId="10" fontId="0" fillId="4" borderId="3" xfId="15" applyNumberFormat="1" applyFont="1" applyFill="1" applyBorder="1"/>
    <xf numFmtId="10" fontId="0" fillId="4" borderId="4" xfId="15" applyNumberFormat="1" applyFont="1" applyFill="1" applyBorder="1"/>
    <xf numFmtId="0" fontId="2" fillId="0" borderId="0" xfId="0" applyFont="1" applyAlignment="1">
      <alignment horizontal="center"/>
    </xf>
    <xf numFmtId="10" fontId="0" fillId="0" borderId="17" xfId="15" applyNumberFormat="1" applyFont="1" applyBorder="1" applyAlignment="1">
      <alignment horizontal="center"/>
    </xf>
    <xf numFmtId="10" fontId="0" fillId="0" borderId="8" xfId="15" applyNumberFormat="1" applyFont="1" applyBorder="1" applyAlignment="1">
      <alignment horizontal="center"/>
    </xf>
    <xf numFmtId="10" fontId="0" fillId="0" borderId="18" xfId="15" applyNumberFormat="1" applyFont="1" applyBorder="1" applyAlignment="1">
      <alignment horizontal="center"/>
    </xf>
    <xf numFmtId="10" fontId="0" fillId="0" borderId="9" xfId="15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 topLeftCell="A1">
      <pane ySplit="7" topLeftCell="A23" activePane="bottomLeft" state="frozen"/>
      <selection pane="bottomLeft" activeCell="G27" sqref="G27"/>
    </sheetView>
  </sheetViews>
  <sheetFormatPr defaultColWidth="9.140625" defaultRowHeight="15"/>
  <cols>
    <col min="1" max="1" width="27.140625" style="0" bestFit="1" customWidth="1"/>
    <col min="2" max="4" width="14.28125" style="0" bestFit="1" customWidth="1"/>
    <col min="5" max="5" width="12.7109375" style="0" customWidth="1"/>
    <col min="6" max="6" width="13.421875" style="0" bestFit="1" customWidth="1"/>
    <col min="7" max="7" width="15.00390625" style="0" bestFit="1" customWidth="1"/>
    <col min="8" max="8" width="14.7109375" style="0" customWidth="1"/>
    <col min="9" max="9" width="15.00390625" style="0" customWidth="1"/>
    <col min="10" max="10" width="52.7109375" style="0" customWidth="1"/>
  </cols>
  <sheetData>
    <row r="1" spans="1:9" ht="2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21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21">
      <c r="A3" s="62" t="s">
        <v>31</v>
      </c>
      <c r="B3" s="62"/>
      <c r="C3" s="62"/>
      <c r="D3" s="62"/>
      <c r="E3" s="62"/>
      <c r="F3" s="62"/>
      <c r="G3" s="62"/>
      <c r="H3" s="62"/>
      <c r="I3" s="62"/>
    </row>
    <row r="4" spans="1:9" ht="21">
      <c r="A4" s="31"/>
      <c r="B4" s="31"/>
      <c r="C4" s="62"/>
      <c r="D4" s="62"/>
      <c r="E4" s="62"/>
      <c r="F4" s="62"/>
      <c r="G4" s="31"/>
      <c r="H4" s="31"/>
      <c r="I4" s="31"/>
    </row>
    <row r="5" spans="1:9" ht="21">
      <c r="A5" s="1"/>
      <c r="B5" s="1"/>
      <c r="C5" s="1"/>
      <c r="D5" s="1"/>
      <c r="E5" s="1"/>
      <c r="F5" s="1"/>
      <c r="G5" s="1"/>
      <c r="H5" s="1"/>
      <c r="I5" s="1"/>
    </row>
    <row r="6" spans="1:9" ht="46.5">
      <c r="A6" s="1"/>
      <c r="B6" s="1"/>
      <c r="C6" s="1"/>
      <c r="D6" s="1"/>
      <c r="E6" s="1"/>
      <c r="F6" s="1"/>
      <c r="G6" s="1"/>
      <c r="H6" s="30" t="s">
        <v>26</v>
      </c>
      <c r="I6" s="30"/>
    </row>
    <row r="7" spans="1:9" ht="45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21</v>
      </c>
      <c r="I7" s="12" t="s">
        <v>22</v>
      </c>
    </row>
    <row r="8" spans="1:10" ht="29.25" customHeight="1" thickBot="1">
      <c r="A8" s="44" t="s">
        <v>16</v>
      </c>
      <c r="B8" s="45">
        <v>598253</v>
      </c>
      <c r="C8" s="45">
        <v>598253</v>
      </c>
      <c r="D8" s="45">
        <f aca="true" t="shared" si="0" ref="D8:D30">B8-C8</f>
        <v>0</v>
      </c>
      <c r="E8" s="46">
        <f aca="true" t="shared" si="1" ref="E8:E30">D8/B8</f>
        <v>0</v>
      </c>
      <c r="F8" s="45">
        <v>0</v>
      </c>
      <c r="G8" s="45">
        <v>0</v>
      </c>
      <c r="H8" s="46">
        <f>(233277.78+81186.28+7175.11)/538673</f>
        <v>0.5970953992496375</v>
      </c>
      <c r="I8" s="47">
        <f>(170662.23+7795.6+19188.87+19387.13)/538673</f>
        <v>0.4029046007503625</v>
      </c>
      <c r="J8" s="35"/>
    </row>
    <row r="9" spans="1:10" ht="22.5" customHeight="1" thickBot="1">
      <c r="A9" s="58" t="s">
        <v>19</v>
      </c>
      <c r="B9" s="59">
        <v>210879</v>
      </c>
      <c r="C9" s="59">
        <v>210879</v>
      </c>
      <c r="D9" s="59">
        <f>B9-C9</f>
        <v>0</v>
      </c>
      <c r="E9" s="60">
        <f>D9/B9</f>
        <v>0</v>
      </c>
      <c r="F9" s="59">
        <f>21085-21085</f>
        <v>0</v>
      </c>
      <c r="G9" s="59">
        <f>189794-189794</f>
        <v>0</v>
      </c>
      <c r="H9" s="60">
        <f>(90079.4+16556.12+7237.77)/189794</f>
        <v>0.5999836138128708</v>
      </c>
      <c r="I9" s="61">
        <f>(45816.2+2668.13+11017.82+15305.28+1113.28)/189794</f>
        <v>0.40001638618712915</v>
      </c>
      <c r="J9" s="35"/>
    </row>
    <row r="10" spans="1:9" ht="30.75" customHeight="1" thickBot="1">
      <c r="A10" s="41" t="s">
        <v>27</v>
      </c>
      <c r="B10" s="15">
        <v>993903</v>
      </c>
      <c r="C10" s="15">
        <v>743655.24</v>
      </c>
      <c r="D10" s="15">
        <f>B10-C10</f>
        <v>250247.76</v>
      </c>
      <c r="E10" s="16">
        <f>D10/B10</f>
        <v>0.25178288022070566</v>
      </c>
      <c r="F10" s="15">
        <f>99390-50851.02</f>
        <v>48538.98</v>
      </c>
      <c r="G10" s="15">
        <f>894513-692804.22</f>
        <v>201708.78000000003</v>
      </c>
      <c r="H10" s="32">
        <f>(270964.39+44424.94+6754.79)/894513</f>
        <v>0.36013352516956154</v>
      </c>
      <c r="I10" s="17">
        <f>(291734.8+6724.95+9468.67+60125+2606.68)/894513</f>
        <v>0.41437083642160594</v>
      </c>
    </row>
    <row r="11" spans="1:9" ht="29.25" customHeight="1" thickBot="1">
      <c r="A11" s="23" t="s">
        <v>30</v>
      </c>
      <c r="B11" s="24">
        <f>SUM(B8:B10)</f>
        <v>1803035</v>
      </c>
      <c r="C11" s="24">
        <f>SUM(C8:C10)</f>
        <v>1552787.24</v>
      </c>
      <c r="D11" s="24">
        <f>SUM(D8:D10)</f>
        <v>250247.76</v>
      </c>
      <c r="E11" s="32"/>
      <c r="F11" s="15"/>
      <c r="G11" s="15"/>
      <c r="H11" s="16"/>
      <c r="I11" s="17"/>
    </row>
    <row r="12" spans="1:9" ht="15.75" thickBot="1">
      <c r="A12" s="11"/>
      <c r="B12" s="5"/>
      <c r="C12" s="5"/>
      <c r="D12" s="5"/>
      <c r="E12" s="6"/>
      <c r="F12" s="5"/>
      <c r="G12" s="5"/>
      <c r="H12" s="6"/>
      <c r="I12" s="6"/>
    </row>
    <row r="13" spans="1:9" ht="30.75" thickBot="1">
      <c r="A13" s="48" t="s">
        <v>9</v>
      </c>
      <c r="B13" s="49">
        <v>130887</v>
      </c>
      <c r="C13" s="49">
        <v>130887</v>
      </c>
      <c r="D13" s="49">
        <f>B13-C13</f>
        <v>0</v>
      </c>
      <c r="E13" s="50">
        <f t="shared" si="1"/>
        <v>0</v>
      </c>
      <c r="F13" s="49">
        <f>13088-13088</f>
        <v>0</v>
      </c>
      <c r="G13" s="49">
        <f>117799-117799</f>
        <v>0</v>
      </c>
      <c r="H13" s="50">
        <f>(62458+1350.72+6268.3)/117799</f>
        <v>0.5948863742476592</v>
      </c>
      <c r="I13" s="51">
        <f>(42000+722+4999.98)/117799</f>
        <v>0.40511362575234083</v>
      </c>
    </row>
    <row r="14" spans="1:9" ht="30.75" customHeight="1">
      <c r="A14" s="42" t="s">
        <v>10</v>
      </c>
      <c r="B14" s="14">
        <f>589808-103551</f>
        <v>486257</v>
      </c>
      <c r="C14" s="14">
        <v>471781.34</v>
      </c>
      <c r="D14" s="14">
        <f t="shared" si="0"/>
        <v>14475.659999999974</v>
      </c>
      <c r="E14" s="6">
        <f t="shared" si="1"/>
        <v>0.02976956629930258</v>
      </c>
      <c r="F14" s="5">
        <f>58980-38042.87</f>
        <v>20937.129999999997</v>
      </c>
      <c r="G14" s="14">
        <f>427277-427277</f>
        <v>0</v>
      </c>
      <c r="H14" s="63">
        <f>(173615.29+19974.07+48879.03+47172.37)/(427277+103551)</f>
        <v>0.54563956686535</v>
      </c>
      <c r="I14" s="65">
        <f>(107994.24+26946.37+9750+19426.97+20691.03+56378.63)/(427277+103551)</f>
        <v>0.4543604331346501</v>
      </c>
    </row>
    <row r="15" spans="1:9" ht="15.75" thickBot="1">
      <c r="A15" s="36" t="s">
        <v>20</v>
      </c>
      <c r="B15" s="37">
        <v>103551</v>
      </c>
      <c r="C15" s="37">
        <v>103551</v>
      </c>
      <c r="D15" s="14">
        <f t="shared" si="0"/>
        <v>0</v>
      </c>
      <c r="E15" s="38"/>
      <c r="F15" s="39"/>
      <c r="G15" s="37"/>
      <c r="H15" s="64"/>
      <c r="I15" s="66"/>
    </row>
    <row r="16" spans="1:9" ht="30.75" thickBot="1">
      <c r="A16" s="43" t="s">
        <v>24</v>
      </c>
      <c r="B16" s="7">
        <v>139910</v>
      </c>
      <c r="C16" s="7">
        <v>115825.64</v>
      </c>
      <c r="D16" s="7">
        <f>B16-C16</f>
        <v>24084.36</v>
      </c>
      <c r="E16" s="3">
        <f>D16/B16</f>
        <v>0.17214180544635838</v>
      </c>
      <c r="F16" s="2">
        <f>13990-0</f>
        <v>13990</v>
      </c>
      <c r="G16" s="7">
        <f>125920-115825.64</f>
        <v>10094.36</v>
      </c>
      <c r="H16" s="3">
        <f>(52782.82+8972.94+9894.77)/125920</f>
        <v>0.5690162801778907</v>
      </c>
      <c r="I16" s="4">
        <f>(265.43+25748+5157.5+13004.18)/125920</f>
        <v>0.3508188532401525</v>
      </c>
    </row>
    <row r="17" spans="1:9" ht="30.75" thickBot="1">
      <c r="A17" s="42" t="s">
        <v>25</v>
      </c>
      <c r="B17" s="37">
        <f>595325-105975</f>
        <v>489350</v>
      </c>
      <c r="C17" s="37">
        <v>47728.29</v>
      </c>
      <c r="D17" s="37">
        <f>B17-C17</f>
        <v>441621.71</v>
      </c>
      <c r="E17" s="38">
        <f>D17/B17</f>
        <v>0.9024659446204149</v>
      </c>
      <c r="F17" s="39">
        <f>59530-0</f>
        <v>59530</v>
      </c>
      <c r="G17" s="37">
        <f>429820-47728.29</f>
        <v>382091.71</v>
      </c>
      <c r="H17" s="38">
        <f>(6748.91)/(203000+15000+47031)</f>
        <v>0.025464606027219457</v>
      </c>
      <c r="I17" s="40">
        <f>(41.38+40938)/(10000+90025+20000+17000+27764)</f>
        <v>0.24867788505300717</v>
      </c>
    </row>
    <row r="18" spans="1:9" ht="30.75" thickBot="1">
      <c r="A18" s="43" t="s">
        <v>28</v>
      </c>
      <c r="B18" s="37">
        <v>105975</v>
      </c>
      <c r="C18" s="37">
        <v>54937.74</v>
      </c>
      <c r="D18" s="37">
        <f>B18-C18</f>
        <v>51037.26</v>
      </c>
      <c r="E18" s="38">
        <f>D18/B18</f>
        <v>0.48159716914366596</v>
      </c>
      <c r="F18" s="39"/>
      <c r="G18" s="37"/>
      <c r="H18" s="38"/>
      <c r="I18" s="40"/>
    </row>
    <row r="19" spans="1:9" ht="15.75" thickBot="1">
      <c r="A19" s="25" t="s">
        <v>29</v>
      </c>
      <c r="B19" s="24">
        <f>SUM(B13:B18)</f>
        <v>1455930</v>
      </c>
      <c r="C19" s="24">
        <f>SUM(C13:C18)</f>
        <v>924711.0100000001</v>
      </c>
      <c r="D19" s="24">
        <f>SUM(D13:D18)</f>
        <v>531218.99</v>
      </c>
      <c r="E19" s="32"/>
      <c r="F19" s="19"/>
      <c r="G19" s="18"/>
      <c r="H19" s="19"/>
      <c r="I19" s="20"/>
    </row>
    <row r="20" spans="1:9" ht="15.75" thickBot="1">
      <c r="A20" s="13"/>
      <c r="B20" s="14"/>
      <c r="C20" s="14"/>
      <c r="D20" s="14"/>
      <c r="E20" s="6"/>
      <c r="F20" s="10"/>
      <c r="G20" s="14"/>
      <c r="H20" s="10"/>
      <c r="I20" s="10"/>
    </row>
    <row r="21" spans="1:10" ht="30.75" thickBot="1">
      <c r="A21" s="52" t="s">
        <v>11</v>
      </c>
      <c r="B21" s="53">
        <v>908083</v>
      </c>
      <c r="C21" s="53">
        <v>908083</v>
      </c>
      <c r="D21" s="53">
        <f t="shared" si="0"/>
        <v>0</v>
      </c>
      <c r="E21" s="54">
        <f t="shared" si="1"/>
        <v>0</v>
      </c>
      <c r="F21" s="53">
        <f>90807.47-90807.47</f>
        <v>0</v>
      </c>
      <c r="G21" s="53">
        <v>0</v>
      </c>
      <c r="H21" s="54">
        <f>(190000+10030.2+6000+248466.32+16358.97+10935.24)/(343845.74+473429.79)</f>
        <v>0.5895083265248379</v>
      </c>
      <c r="I21" s="55">
        <f>(56968.33+62609.48+7947.56+1875.01+7085.16+1330+90476.42+53790.34+19775.64+23144.64+9282.22+1200)/(343845.74+473429.79)</f>
        <v>0.41049167347516197</v>
      </c>
      <c r="J21" s="34" t="s">
        <v>23</v>
      </c>
    </row>
    <row r="22" spans="1:10" ht="34.5" customHeight="1" thickBot="1">
      <c r="A22" s="26" t="s">
        <v>17</v>
      </c>
      <c r="B22" s="27">
        <v>1463193</v>
      </c>
      <c r="C22" s="27">
        <v>714547.85</v>
      </c>
      <c r="D22" s="27">
        <f>B22-C22</f>
        <v>748645.15</v>
      </c>
      <c r="E22" s="33">
        <f>D22/B22</f>
        <v>0.5116516754795847</v>
      </c>
      <c r="F22" s="2">
        <f>146319-71754.62</f>
        <v>74564.38</v>
      </c>
      <c r="G22" s="2">
        <f>(329000+987874)-(245673.17+397120.06)</f>
        <v>674080.77</v>
      </c>
      <c r="H22" s="3">
        <f>(139564.22+14972.23+6256.95+184165.44+17867.13+10000.61)/(329000+987874)</f>
        <v>0.28311484621915234</v>
      </c>
      <c r="I22" s="4">
        <f>(13007.75+35553.32+1956.06+813.76+13583.52+1590+675.36+89876.03+55070.49+22940.06+2805.01+11000.35+1650+1744.94)/(329000+987874)</f>
        <v>0.19156475866331935</v>
      </c>
      <c r="J22" s="34" t="s">
        <v>32</v>
      </c>
    </row>
    <row r="23" spans="1:9" ht="1.5" customHeight="1" thickBot="1">
      <c r="A23" s="13"/>
      <c r="B23" s="14"/>
      <c r="C23" s="14"/>
      <c r="D23" s="14"/>
      <c r="E23" s="6"/>
      <c r="F23" s="5"/>
      <c r="G23" s="5">
        <f>987874-181975.31</f>
        <v>805898.69</v>
      </c>
      <c r="H23" s="6"/>
      <c r="I23" s="6"/>
    </row>
    <row r="24" spans="1:9" ht="15.75" thickBot="1">
      <c r="A24" s="28" t="s">
        <v>15</v>
      </c>
      <c r="B24" s="29">
        <f>B11+B19+B21</f>
        <v>4167048</v>
      </c>
      <c r="C24" s="29">
        <f>C11+C19+C21</f>
        <v>3385581.25</v>
      </c>
      <c r="D24" s="29">
        <f>D11+D19+D22</f>
        <v>1530111.9</v>
      </c>
      <c r="E24" s="33"/>
      <c r="F24" s="2"/>
      <c r="G24" s="2"/>
      <c r="H24" s="3"/>
      <c r="I24" s="4"/>
    </row>
    <row r="25" spans="1:9" ht="38.25" customHeight="1" thickBot="1">
      <c r="A25" s="13"/>
      <c r="B25" s="14"/>
      <c r="C25" s="14"/>
      <c r="D25" s="14"/>
      <c r="E25" s="6"/>
      <c r="F25" s="5"/>
      <c r="G25" s="5"/>
      <c r="H25" s="6"/>
      <c r="I25" s="6"/>
    </row>
    <row r="26" spans="1:9" ht="30.75" thickBot="1">
      <c r="A26" s="22" t="s">
        <v>12</v>
      </c>
      <c r="B26" s="7">
        <v>150818</v>
      </c>
      <c r="C26" s="7">
        <v>108366.82</v>
      </c>
      <c r="D26" s="7">
        <f t="shared" si="0"/>
        <v>42451.17999999999</v>
      </c>
      <c r="E26" s="3">
        <f t="shared" si="1"/>
        <v>0.28147290111259926</v>
      </c>
      <c r="F26" s="2">
        <f>15000-9389.92</f>
        <v>5610.08</v>
      </c>
      <c r="G26" s="2">
        <f>135818-98976.9</f>
        <v>36841.100000000006</v>
      </c>
      <c r="H26" s="8"/>
      <c r="I26" s="9"/>
    </row>
    <row r="27" spans="1:9" ht="15.75" thickBot="1">
      <c r="A27" s="13"/>
      <c r="B27" s="14"/>
      <c r="C27" s="14"/>
      <c r="D27" s="14"/>
      <c r="E27" s="6"/>
      <c r="F27" s="5"/>
      <c r="G27" s="5"/>
      <c r="H27" s="10"/>
      <c r="I27" s="10"/>
    </row>
    <row r="28" spans="1:9" ht="34.5" customHeight="1" thickBot="1">
      <c r="A28" s="21" t="s">
        <v>18</v>
      </c>
      <c r="B28" s="2">
        <v>75815</v>
      </c>
      <c r="C28" s="2">
        <v>40644.57</v>
      </c>
      <c r="D28" s="2">
        <f>B28-C28</f>
        <v>35170.43</v>
      </c>
      <c r="E28" s="3">
        <f>D28/B28</f>
        <v>0.4638980412847062</v>
      </c>
      <c r="F28" s="2">
        <f>5000-4569</f>
        <v>431</v>
      </c>
      <c r="G28" s="2">
        <f>70815-36075.57</f>
        <v>34739.43</v>
      </c>
      <c r="H28" s="8"/>
      <c r="I28" s="9"/>
    </row>
    <row r="29" spans="1:9" ht="15.75" customHeight="1" thickBot="1">
      <c r="A29" s="21"/>
      <c r="B29" s="2"/>
      <c r="C29" s="2"/>
      <c r="D29" s="2"/>
      <c r="E29" s="3"/>
      <c r="F29" s="2"/>
      <c r="G29" s="2"/>
      <c r="H29" s="8"/>
      <c r="I29" s="9"/>
    </row>
    <row r="30" spans="1:9" ht="30.75" thickBot="1">
      <c r="A30" s="22" t="s">
        <v>14</v>
      </c>
      <c r="B30" s="7">
        <v>25000</v>
      </c>
      <c r="C30" s="7">
        <v>21411.04</v>
      </c>
      <c r="D30" s="7">
        <f t="shared" si="0"/>
        <v>3588.959999999999</v>
      </c>
      <c r="E30" s="3">
        <f t="shared" si="1"/>
        <v>0.14355839999999997</v>
      </c>
      <c r="F30" s="2"/>
      <c r="G30" s="2"/>
      <c r="H30" s="8"/>
      <c r="I30" s="9"/>
    </row>
    <row r="31" ht="15.75" thickBot="1">
      <c r="E31" s="6"/>
    </row>
    <row r="32" spans="1:9" ht="30.75" thickBot="1">
      <c r="A32" s="52" t="s">
        <v>13</v>
      </c>
      <c r="B32" s="53">
        <v>140848</v>
      </c>
      <c r="C32" s="53">
        <v>127196.08</v>
      </c>
      <c r="D32" s="53">
        <f>B32-C32</f>
        <v>13651.919999999998</v>
      </c>
      <c r="E32" s="54">
        <f>D32/B32</f>
        <v>0.09692661592638872</v>
      </c>
      <c r="F32" s="53">
        <f>14084-11612.65</f>
        <v>2471.3500000000004</v>
      </c>
      <c r="G32" s="53">
        <f>126764-115583.43</f>
        <v>11180.570000000007</v>
      </c>
      <c r="H32" s="56"/>
      <c r="I32" s="57"/>
    </row>
    <row r="33" ht="15">
      <c r="E33" s="6"/>
    </row>
    <row r="34" ht="15">
      <c r="E34" s="10"/>
    </row>
  </sheetData>
  <mergeCells count="6">
    <mergeCell ref="A1:I1"/>
    <mergeCell ref="A2:I2"/>
    <mergeCell ref="A3:I3"/>
    <mergeCell ref="C4:F4"/>
    <mergeCell ref="H14:H15"/>
    <mergeCell ref="I14:I15"/>
  </mergeCells>
  <printOptions/>
  <pageMargins left="0.2" right="0.2" top="0.75" bottom="0.75" header="0.3" footer="0.3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SCWIB Fiscal</dc:creator>
  <cp:keywords/>
  <dc:description/>
  <cp:lastModifiedBy>Kevin</cp:lastModifiedBy>
  <cp:lastPrinted>2022-04-14T12:59:24Z</cp:lastPrinted>
  <dcterms:created xsi:type="dcterms:W3CDTF">2021-01-21T17:48:37Z</dcterms:created>
  <dcterms:modified xsi:type="dcterms:W3CDTF">2022-06-16T17:24:42Z</dcterms:modified>
  <cp:category/>
  <cp:version/>
  <cp:contentType/>
  <cp:contentStatus/>
</cp:coreProperties>
</file>