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00" activeTab="0"/>
  </bookViews>
  <sheets>
    <sheet name="Monthly Board Report" sheetId="1" r:id="rId1"/>
  </sheets>
  <definedNames>
    <definedName name="_xlnm.Print_Area" localSheetId="0">'Monthly Board Report'!$A$1:$I$30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<sst xmlns="http://schemas.openxmlformats.org/spreadsheetml/2006/main" count="34" uniqueCount="34">
  <si>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Central Workforce Development Board</t>
  </si>
  <si>
    <t>Grants</t>
  </si>
  <si>
    <t>Program Name                   Fiscal Year</t>
  </si>
  <si>
    <t>Total Grant Award</t>
  </si>
  <si>
    <t>Year to Date Expenses</t>
  </si>
  <si>
    <t>Fund Remaining</t>
  </si>
  <si>
    <t>% Remaing of Fund</t>
  </si>
  <si>
    <t>Admin Available</t>
  </si>
  <si>
    <t>Program Availiable</t>
  </si>
  <si>
    <t>Youth PY21                           4/1/2021-6/30/2023</t>
  </si>
  <si>
    <t>Operational  % of Program Spent</t>
  </si>
  <si>
    <t>Program % of Program Spent</t>
  </si>
  <si>
    <t>Dislocated Worker PY21   7/1/2021-6/30/2023</t>
  </si>
  <si>
    <t>Dislocated Worker FY22  10/1/2021-6/30/2023</t>
  </si>
  <si>
    <t>This should be no more than 60%</t>
  </si>
  <si>
    <t>Transfer Dislocated Worker PY22   7/1/2021-6/30/2023</t>
  </si>
  <si>
    <t>Total Dislocated Worker</t>
  </si>
  <si>
    <t xml:space="preserve">Total Adult </t>
  </si>
  <si>
    <t>Dislocated Worker PY22     7/1/22 - 6/30/24</t>
  </si>
  <si>
    <t>Youth PY22                        4/1/2022-6/30/2024</t>
  </si>
  <si>
    <t>Total Youth</t>
  </si>
  <si>
    <t xml:space="preserve"> </t>
  </si>
  <si>
    <t>Adult PY22 7/1/22-6/30/2024</t>
  </si>
  <si>
    <t>Work Experience is currently at 26.06%</t>
  </si>
  <si>
    <t>Covid NDWG                           4/1/2020-6/30/2023</t>
  </si>
  <si>
    <t>EO-Youth 15%                 7/1/2022-6/30/2023</t>
  </si>
  <si>
    <t>Total All Funding</t>
  </si>
  <si>
    <t>Summary by Grant for periods July 1, 2022 to December 31, 2022</t>
  </si>
  <si>
    <t>Work Experience is currently at 4.04%</t>
  </si>
  <si>
    <t>Show Me Heros                                  7/1/2022 - 6/30/2023</t>
  </si>
  <si>
    <t>Adult FY22  10/1/21 - 6/30/23</t>
  </si>
  <si>
    <t>Adult FY23 10/1/23-6/30/2024</t>
  </si>
  <si>
    <t>Dislocated Worker FY22  10/1/2022-6/30/2024</t>
  </si>
  <si>
    <t>Transfer Dislocated Worker PY22   10/1/2022-6/30/2024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</si>
</sst>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6" applyFont="1" applyBorder="1"/>
    <xf numFmtId="10" fontId="0" fillId="0" borderId="1" xfId="15" applyNumberFormat="1" applyFont="1" applyBorder="1"/>
    <xf numFmtId="44" fontId="0" fillId="0" borderId="0" xfId="16" applyFont="1" applyBorder="1"/>
    <xf numFmtId="10" fontId="0" fillId="0" borderId="0" xfId="15" applyNumberFormat="1" applyFont="1" applyBorder="1"/>
    <xf numFmtId="44" fontId="0" fillId="0" borderId="1" xfId="16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6" applyFont="1" applyFill="1" applyBorder="1"/>
    <xf numFmtId="44" fontId="0" fillId="0" borderId="3" xfId="16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4" fontId="0" fillId="2" borderId="3" xfId="16" applyFont="1" applyFill="1" applyBorder="1"/>
    <xf numFmtId="0" fontId="0" fillId="2" borderId="6" xfId="0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0" fillId="0" borderId="3" xfId="15" applyNumberFormat="1" applyFont="1" applyFill="1" applyBorder="1"/>
    <xf numFmtId="0" fontId="0" fillId="0" borderId="0" xfId="0" applyAlignment="1">
      <alignment wrapText="1"/>
    </xf>
    <xf numFmtId="0" fontId="0" fillId="0" borderId="7" xfId="0" applyFill="1" applyBorder="1" applyAlignment="1">
      <alignment horizontal="center" wrapText="1"/>
    </xf>
    <xf numFmtId="44" fontId="0" fillId="0" borderId="7" xfId="16" applyFont="1" applyFill="1" applyBorder="1"/>
    <xf numFmtId="10" fontId="0" fillId="0" borderId="7" xfId="15" applyNumberFormat="1" applyFont="1" applyBorder="1"/>
    <xf numFmtId="44" fontId="0" fillId="0" borderId="7" xfId="16" applyFont="1" applyBorder="1"/>
    <xf numFmtId="0" fontId="0" fillId="0" borderId="7" xfId="0" applyBorder="1" applyAlignment="1">
      <alignment horizontal="center" wrapText="1"/>
    </xf>
    <xf numFmtId="10" fontId="0" fillId="0" borderId="7" xfId="15" applyNumberFormat="1" applyFont="1" applyFill="1" applyBorder="1"/>
    <xf numFmtId="0" fontId="0" fillId="2" borderId="7" xfId="0" applyFill="1" applyBorder="1"/>
    <xf numFmtId="44" fontId="0" fillId="2" borderId="7" xfId="16" applyFont="1" applyFill="1" applyBorder="1"/>
    <xf numFmtId="0" fontId="0" fillId="2" borderId="8" xfId="0" applyFill="1" applyBorder="1" applyAlignment="1">
      <alignment horizontal="center" wrapText="1"/>
    </xf>
    <xf numFmtId="44" fontId="0" fillId="2" borderId="8" xfId="16" applyFont="1" applyFill="1" applyBorder="1"/>
    <xf numFmtId="10" fontId="0" fillId="0" borderId="8" xfId="15" applyNumberFormat="1" applyFont="1" applyBorder="1"/>
    <xf numFmtId="44" fontId="0" fillId="0" borderId="8" xfId="16" applyFont="1" applyBorder="1"/>
    <xf numFmtId="0" fontId="0" fillId="3" borderId="9" xfId="0" applyFill="1" applyBorder="1" applyAlignment="1">
      <alignment wrapText="1"/>
    </xf>
    <xf numFmtId="44" fontId="0" fillId="3" borderId="10" xfId="16" applyFont="1" applyFill="1" applyBorder="1"/>
    <xf numFmtId="10" fontId="0" fillId="0" borderId="10" xfId="15" applyNumberFormat="1" applyFont="1" applyFill="1" applyBorder="1"/>
    <xf numFmtId="44" fontId="0" fillId="0" borderId="10" xfId="16" applyFont="1" applyBorder="1"/>
    <xf numFmtId="10" fontId="0" fillId="0" borderId="10" xfId="15" applyNumberFormat="1" applyFont="1" applyBorder="1"/>
    <xf numFmtId="10" fontId="0" fillId="0" borderId="11" xfId="15" applyNumberFormat="1" applyFont="1" applyBorder="1"/>
    <xf numFmtId="44" fontId="0" fillId="0" borderId="12" xfId="16" applyFont="1" applyFill="1" applyBorder="1"/>
    <xf numFmtId="10" fontId="0" fillId="0" borderId="12" xfId="15" applyNumberFormat="1" applyFont="1" applyBorder="1"/>
    <xf numFmtId="44" fontId="0" fillId="0" borderId="12" xfId="16" applyFont="1" applyBorder="1"/>
    <xf numFmtId="10" fontId="0" fillId="0" borderId="13" xfId="15" applyNumberFormat="1" applyFont="1" applyBorder="1"/>
    <xf numFmtId="2" fontId="0" fillId="0" borderId="7" xfId="16" applyNumberFormat="1" applyFont="1" applyFill="1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 topLeftCell="A1">
      <pane ySplit="7" topLeftCell="A17" activePane="bottomLeft" state="frozen"/>
      <selection pane="bottomLeft" activeCell="A19" sqref="A19"/>
    </sheetView>
  </sheetViews>
  <sheetFormatPr defaultColWidth="9.140625" defaultRowHeight="15"/>
  <cols>
    <col min="1" max="1" width="27.140625" style="0" bestFit="1" customWidth="1"/>
    <col min="2" max="4" width="14.28125" style="0" bestFit="1" customWidth="1"/>
    <col min="5" max="5" width="12.7109375" style="0" customWidth="1"/>
    <col min="6" max="6" width="13.421875" style="0" bestFit="1" customWidth="1"/>
    <col min="7" max="7" width="15.00390625" style="0" bestFit="1" customWidth="1"/>
    <col min="8" max="8" width="14.7109375" style="0" customWidth="1"/>
    <col min="9" max="9" width="15.00390625" style="0" customWidth="1"/>
    <col min="10" max="10" width="52.7109375" style="0" customWidth="1"/>
  </cols>
  <sheetData>
    <row r="1" spans="1:9" ht="2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21">
      <c r="A3" s="48" t="s">
        <v>27</v>
      </c>
      <c r="B3" s="48"/>
      <c r="C3" s="48"/>
      <c r="D3" s="48"/>
      <c r="E3" s="48"/>
      <c r="F3" s="48"/>
      <c r="G3" s="48"/>
      <c r="H3" s="48"/>
      <c r="I3" s="48"/>
    </row>
    <row r="4" spans="1:9" ht="21">
      <c r="A4" s="22" t="s">
        <v>21</v>
      </c>
      <c r="B4" s="22"/>
      <c r="C4" s="48"/>
      <c r="D4" s="48"/>
      <c r="E4" s="48"/>
      <c r="F4" s="48"/>
      <c r="G4" s="22"/>
      <c r="H4" s="22"/>
      <c r="I4" s="22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46.5">
      <c r="A6" s="1"/>
      <c r="B6" s="1"/>
      <c r="C6" s="1"/>
      <c r="D6" s="1"/>
      <c r="E6" s="1"/>
      <c r="F6" s="1"/>
      <c r="G6" s="1"/>
      <c r="H6" s="21" t="s">
        <v>14</v>
      </c>
      <c r="I6" s="21"/>
    </row>
    <row r="7" spans="1:9" ht="45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10</v>
      </c>
      <c r="I7" s="11" t="s">
        <v>11</v>
      </c>
    </row>
    <row r="8" spans="1:9" ht="30.75" customHeight="1">
      <c r="A8" s="29" t="s">
        <v>30</v>
      </c>
      <c r="B8" s="28">
        <v>993903</v>
      </c>
      <c r="C8" s="28">
        <v>993903</v>
      </c>
      <c r="D8" s="28">
        <f>B8-C8</f>
        <v>0</v>
      </c>
      <c r="E8" s="27">
        <f>D8/B8</f>
        <v>0</v>
      </c>
      <c r="F8" s="28">
        <f>99390-99390</f>
        <v>0</v>
      </c>
      <c r="G8" s="28">
        <f>894513-894513</f>
        <v>0</v>
      </c>
      <c r="H8" s="30">
        <f>(389224.19+79964.66+9152.07)/894513</f>
        <v>0.5347501042466682</v>
      </c>
      <c r="I8" s="27">
        <f>(293362.19+6724.95+50353.99+60598.67+5132.28)/894513</f>
        <v>0.4652498957533317</v>
      </c>
    </row>
    <row r="9" spans="1:9" ht="30.75" customHeight="1">
      <c r="A9" s="29" t="s">
        <v>22</v>
      </c>
      <c r="B9" s="28">
        <v>198270</v>
      </c>
      <c r="C9" s="28">
        <v>154884.86</v>
      </c>
      <c r="D9" s="28">
        <f>B9-C9</f>
        <v>43385.140000000014</v>
      </c>
      <c r="E9" s="27">
        <f>D9/B9</f>
        <v>0.2188184798507087</v>
      </c>
      <c r="F9" s="28">
        <f>19827-2889.66</f>
        <v>16937.34</v>
      </c>
      <c r="G9" s="28">
        <f>178443-151995.2</f>
        <v>26447.79999999999</v>
      </c>
      <c r="H9" s="30">
        <f>(70126.45+4896.52+1023.03)/178443</f>
        <v>0.42616409721871973</v>
      </c>
      <c r="I9" s="27">
        <f>(43408+17538.2+15000)/178443</f>
        <v>0.42560481498293573</v>
      </c>
    </row>
    <row r="10" spans="1:9" ht="30.75" customHeight="1">
      <c r="A10" s="29" t="s">
        <v>31</v>
      </c>
      <c r="B10" s="28">
        <v>886034</v>
      </c>
      <c r="C10" s="28">
        <v>167157.25</v>
      </c>
      <c r="D10" s="28">
        <f>B10-C10</f>
        <v>718876.75</v>
      </c>
      <c r="E10" s="27">
        <f>D10/B10</f>
        <v>0.8113421719708273</v>
      </c>
      <c r="F10" s="28">
        <f>88600-0</f>
        <v>88600</v>
      </c>
      <c r="G10" s="28">
        <f>797434-167157.25</f>
        <v>630276.75</v>
      </c>
      <c r="H10" s="30">
        <f>(11123.61+8232.54+0)/797434</f>
        <v>0.02427304328634094</v>
      </c>
      <c r="I10" s="27">
        <f>(120886.67+10559.91+1084.57+14181.77+1088.18)/797434</f>
        <v>0.18534587188406812</v>
      </c>
    </row>
    <row r="11" spans="1:9" ht="29.25" customHeight="1">
      <c r="A11" s="31" t="s">
        <v>17</v>
      </c>
      <c r="B11" s="32">
        <f>SUM(B8:B8)</f>
        <v>993903</v>
      </c>
      <c r="C11" s="32">
        <f>SUM(C8:C8)</f>
        <v>993903</v>
      </c>
      <c r="D11" s="32">
        <f>SUM(D8:D8)</f>
        <v>0</v>
      </c>
      <c r="E11" s="30"/>
      <c r="F11" s="28"/>
      <c r="G11" s="28"/>
      <c r="H11" s="27"/>
      <c r="I11" s="27"/>
    </row>
    <row r="12" spans="1:9" ht="15">
      <c r="A12" s="10"/>
      <c r="B12" s="4"/>
      <c r="C12" s="4"/>
      <c r="D12" s="4"/>
      <c r="E12" s="5"/>
      <c r="F12" s="4"/>
      <c r="G12" s="4"/>
      <c r="H12" s="5"/>
      <c r="I12" s="5"/>
    </row>
    <row r="13" spans="1:9" ht="30">
      <c r="A13" s="25" t="s">
        <v>12</v>
      </c>
      <c r="B13" s="26">
        <v>139910</v>
      </c>
      <c r="C13" s="26">
        <v>139910</v>
      </c>
      <c r="D13" s="26">
        <f aca="true" t="shared" si="0" ref="D13:D18">B13-C13</f>
        <v>0</v>
      </c>
      <c r="E13" s="27">
        <f>D13/B13</f>
        <v>0</v>
      </c>
      <c r="F13" s="28">
        <f>13990-13990</f>
        <v>0</v>
      </c>
      <c r="G13" s="26">
        <f>125920-125920</f>
        <v>0</v>
      </c>
      <c r="H13" s="27">
        <f>(54498.3+8972.94+10993.65)/125920</f>
        <v>0.5913666613722999</v>
      </c>
      <c r="I13" s="27">
        <f>(265.43+33028+5157.5+13004.18)/125920</f>
        <v>0.4086333386277001</v>
      </c>
    </row>
    <row r="14" spans="1:9" ht="30">
      <c r="A14" s="25" t="s">
        <v>13</v>
      </c>
      <c r="B14" s="26">
        <f>595325-170975</f>
        <v>424350</v>
      </c>
      <c r="C14" s="26">
        <f>260018.79+4332.8</f>
        <v>264351.59</v>
      </c>
      <c r="D14" s="26">
        <f t="shared" si="0"/>
        <v>159998.40999999997</v>
      </c>
      <c r="E14" s="27">
        <f>D14/B14</f>
        <v>0.37704350182632257</v>
      </c>
      <c r="F14" s="28">
        <f>59530-4332.8</f>
        <v>55197.2</v>
      </c>
      <c r="G14" s="26">
        <f>364820-260018.79</f>
        <v>104801.20999999999</v>
      </c>
      <c r="H14" s="27">
        <f>(63457.21+8847.96+17607.23)/(122255.99+15730.93+47000)</f>
        <v>0.4860473378333992</v>
      </c>
      <c r="I14" s="27">
        <f>(1277.84+21389.73+2499.45+134696+4845.59+5397.81)/364820</f>
        <v>0.46627493010251625</v>
      </c>
    </row>
    <row r="15" spans="1:9" ht="30">
      <c r="A15" s="25" t="s">
        <v>15</v>
      </c>
      <c r="B15" s="26">
        <f>105975+65000</f>
        <v>170975</v>
      </c>
      <c r="C15" s="26">
        <v>170839.52</v>
      </c>
      <c r="D15" s="26">
        <f t="shared" si="0"/>
        <v>135.48000000001048</v>
      </c>
      <c r="E15" s="27">
        <f>D15/B15</f>
        <v>0.0007923965492031611</v>
      </c>
      <c r="F15" s="28"/>
      <c r="G15" s="26"/>
      <c r="H15" s="27"/>
      <c r="I15" s="27"/>
    </row>
    <row r="16" spans="1:9" s="9" customFormat="1" ht="28.5" customHeight="1">
      <c r="A16" s="25" t="s">
        <v>18</v>
      </c>
      <c r="B16" s="26">
        <v>133066</v>
      </c>
      <c r="C16" s="26">
        <v>13346.66</v>
      </c>
      <c r="D16" s="26">
        <f t="shared" si="0"/>
        <v>119719.34</v>
      </c>
      <c r="E16" s="27">
        <f>D16/B16</f>
        <v>0.8996989463875069</v>
      </c>
      <c r="F16" s="28">
        <f>13306-0</f>
        <v>13306</v>
      </c>
      <c r="G16" s="26">
        <f>119760-13346.66</f>
        <v>106413.34</v>
      </c>
      <c r="H16" s="27">
        <f>(8927.23+4419.43+0)/119760</f>
        <v>0.11144505678022712</v>
      </c>
      <c r="I16" s="27">
        <f>1346.66/119760</f>
        <v>0.011244655978623916</v>
      </c>
    </row>
    <row r="17" spans="1:9" ht="28.5" customHeight="1">
      <c r="A17" s="25" t="s">
        <v>32</v>
      </c>
      <c r="B17" s="26">
        <f>535795-95000</f>
        <v>440795</v>
      </c>
      <c r="C17" s="26">
        <v>0</v>
      </c>
      <c r="D17" s="26">
        <f t="shared" si="0"/>
        <v>440795</v>
      </c>
      <c r="E17" s="27"/>
      <c r="F17" s="28"/>
      <c r="G17" s="47"/>
      <c r="H17" s="27"/>
      <c r="I17" s="27"/>
    </row>
    <row r="18" spans="1:9" ht="28.5" customHeight="1">
      <c r="A18" s="25" t="s">
        <v>33</v>
      </c>
      <c r="B18" s="43">
        <v>95000</v>
      </c>
      <c r="C18" s="43">
        <v>0</v>
      </c>
      <c r="D18" s="43">
        <f t="shared" si="0"/>
        <v>95000</v>
      </c>
      <c r="E18" s="44"/>
      <c r="F18" s="45"/>
      <c r="G18" s="43"/>
      <c r="H18" s="44"/>
      <c r="I18" s="46"/>
    </row>
    <row r="19" spans="1:9" ht="15.75" thickBot="1">
      <c r="A19" s="20" t="s">
        <v>16</v>
      </c>
      <c r="B19" s="19">
        <f>SUM(B13:B15)</f>
        <v>735235</v>
      </c>
      <c r="C19" s="19">
        <f>SUM(C13:C15)</f>
        <v>575101.11</v>
      </c>
      <c r="D19" s="19">
        <f>SUM(D13:D15)</f>
        <v>160133.88999999998</v>
      </c>
      <c r="E19" s="23"/>
      <c r="F19" s="15"/>
      <c r="G19" s="14"/>
      <c r="H19" s="15"/>
      <c r="I19" s="16"/>
    </row>
    <row r="20" spans="1:9" ht="15">
      <c r="A20" s="12"/>
      <c r="B20" s="13"/>
      <c r="C20" s="13"/>
      <c r="D20" s="13"/>
      <c r="E20" s="5"/>
      <c r="F20" s="9"/>
      <c r="G20" s="13"/>
      <c r="H20" s="9"/>
      <c r="I20" s="9"/>
    </row>
    <row r="21" spans="1:10" ht="28.5" customHeight="1">
      <c r="A21" s="25" t="s">
        <v>9</v>
      </c>
      <c r="B21" s="26">
        <v>1463193</v>
      </c>
      <c r="C21" s="26">
        <v>1409336.32</v>
      </c>
      <c r="D21" s="26">
        <f>B21-C21</f>
        <v>53856.679999999935</v>
      </c>
      <c r="E21" s="30">
        <f>D21/B21</f>
        <v>0.03680763918362098</v>
      </c>
      <c r="F21" s="28">
        <f>146319-139814.7</f>
        <v>6504.299999999988</v>
      </c>
      <c r="G21" s="28">
        <f>(531138.16+785735.84)-(547492.67+722028.95)</f>
        <v>47352.37999999989</v>
      </c>
      <c r="H21" s="27">
        <f>(218439.67+25678.34+8665.81+295782.27+27704.57+12960.75)/(531138.16+785735.84)</f>
        <v>0.44744706782881283</v>
      </c>
      <c r="I21" s="27">
        <f>(59411.25+121272.73+42062.33+813.76+23324.65+4305+31500+2568.49+143583.96+119245.54+52798.99+1207.01+20375.75+3350+31500+68136.74)/(531138.16+785735.84)</f>
        <v>0.5508926442469059</v>
      </c>
      <c r="J21" s="24" t="s">
        <v>23</v>
      </c>
    </row>
    <row r="22" spans="1:10" ht="28.5" customHeight="1">
      <c r="A22" s="25" t="s">
        <v>19</v>
      </c>
      <c r="B22" s="26">
        <v>1316873</v>
      </c>
      <c r="C22" s="26">
        <v>160137.54</v>
      </c>
      <c r="D22" s="26">
        <f>B22-C22</f>
        <v>1156735.46</v>
      </c>
      <c r="E22" s="27">
        <f>D22/B22</f>
        <v>0.8783956083844076</v>
      </c>
      <c r="F22" s="28">
        <f>(131685-0)</f>
        <v>131685</v>
      </c>
      <c r="G22" s="28">
        <f>(524075+661113)-(79597.84+80539.7)</f>
        <v>1025050.46</v>
      </c>
      <c r="H22" s="27">
        <f>(17643.41+6583.35+12810.87+5017.77)/(524075+661113)</f>
        <v>0.035484159475121256</v>
      </c>
      <c r="I22" s="27">
        <f>(27802.49+11740.03+11091.11+2604.24+1000+1133.21+37529+6207.48+6348.28+8606.58+898.41+329.65+2791.66)/(524075+661113)</f>
        <v>0.09963156900002362</v>
      </c>
      <c r="J22" s="24" t="s">
        <v>28</v>
      </c>
    </row>
    <row r="23" spans="1:9" ht="15.75" thickBot="1">
      <c r="A23" s="33" t="s">
        <v>20</v>
      </c>
      <c r="B23" s="34">
        <f>SUM(B21:B22)</f>
        <v>2780066</v>
      </c>
      <c r="C23" s="34">
        <f aca="true" t="shared" si="1" ref="C23:D23">SUM(C21:C22)</f>
        <v>1569473.86</v>
      </c>
      <c r="D23" s="34">
        <f t="shared" si="1"/>
        <v>1210592.14</v>
      </c>
      <c r="E23" s="35"/>
      <c r="F23" s="36"/>
      <c r="G23" s="36"/>
      <c r="H23" s="35"/>
      <c r="I23" s="35"/>
    </row>
    <row r="24" spans="1:9" ht="36" customHeight="1" thickBot="1">
      <c r="A24" s="37" t="s">
        <v>26</v>
      </c>
      <c r="B24" s="38">
        <f>B11+B19+B23</f>
        <v>4509204</v>
      </c>
      <c r="C24" s="38">
        <f aca="true" t="shared" si="2" ref="C24:D24">C11+C19+C23</f>
        <v>3138477.9699999997</v>
      </c>
      <c r="D24" s="38">
        <f t="shared" si="2"/>
        <v>1370726.0299999998</v>
      </c>
      <c r="E24" s="39"/>
      <c r="F24" s="40"/>
      <c r="G24" s="40"/>
      <c r="H24" s="41"/>
      <c r="I24" s="42"/>
    </row>
    <row r="25" spans="1:9" ht="38.25" customHeight="1" thickBot="1">
      <c r="A25" s="12"/>
      <c r="B25" s="13"/>
      <c r="C25" s="13"/>
      <c r="D25" s="13"/>
      <c r="E25" s="5"/>
      <c r="F25" s="4"/>
      <c r="G25" s="4"/>
      <c r="H25" s="5"/>
      <c r="I25" s="5"/>
    </row>
    <row r="26" spans="1:9" ht="30.75" thickBot="1">
      <c r="A26" s="18" t="s">
        <v>24</v>
      </c>
      <c r="B26" s="6">
        <v>150818</v>
      </c>
      <c r="C26" s="6">
        <v>123846.59</v>
      </c>
      <c r="D26" s="6">
        <f aca="true" t="shared" si="3" ref="D26:D28">B26-C26</f>
        <v>26971.410000000003</v>
      </c>
      <c r="E26" s="3">
        <f aca="true" t="shared" si="4" ref="E26:E28">D26/B26</f>
        <v>0.17883415772653133</v>
      </c>
      <c r="F26" s="2"/>
      <c r="G26" s="2"/>
      <c r="H26" s="7"/>
      <c r="I26" s="8"/>
    </row>
    <row r="27" spans="1:9" ht="15.75" thickBot="1">
      <c r="A27" s="12"/>
      <c r="B27" s="13"/>
      <c r="C27" s="13"/>
      <c r="D27" s="13"/>
      <c r="E27" s="5"/>
      <c r="F27" s="4"/>
      <c r="G27" s="4"/>
      <c r="H27" s="9"/>
      <c r="I27" s="9"/>
    </row>
    <row r="28" spans="1:9" ht="30.75" thickBot="1">
      <c r="A28" s="18" t="s">
        <v>25</v>
      </c>
      <c r="B28" s="6">
        <v>25000</v>
      </c>
      <c r="C28" s="6">
        <v>15317.24</v>
      </c>
      <c r="D28" s="6">
        <f t="shared" si="3"/>
        <v>9682.76</v>
      </c>
      <c r="E28" s="3">
        <f t="shared" si="4"/>
        <v>0.3873104</v>
      </c>
      <c r="F28" s="2"/>
      <c r="G28" s="2"/>
      <c r="H28" s="7"/>
      <c r="I28" s="8"/>
    </row>
    <row r="29" ht="15.75" thickBot="1">
      <c r="E29" s="5"/>
    </row>
    <row r="30" spans="1:9" ht="30.75" thickBot="1">
      <c r="A30" s="17" t="s">
        <v>29</v>
      </c>
      <c r="B30" s="2">
        <v>20000</v>
      </c>
      <c r="C30" s="2">
        <v>1640.08</v>
      </c>
      <c r="D30" s="2">
        <f>B30-C30</f>
        <v>18359.92</v>
      </c>
      <c r="E30" s="3">
        <f>D30/B30</f>
        <v>0.9179959999999999</v>
      </c>
      <c r="F30" s="7"/>
      <c r="G30" s="7"/>
      <c r="H30" s="7"/>
      <c r="I30" s="8"/>
    </row>
    <row r="31" ht="15">
      <c r="E31" s="9"/>
    </row>
  </sheetData>
  <mergeCells count="4">
    <mergeCell ref="A1:I1"/>
    <mergeCell ref="A2:I2"/>
    <mergeCell ref="A3:I3"/>
    <mergeCell ref="C4:F4"/>
  </mergeCells>
  <printOptions/>
  <pageMargins left="0.2" right="0.2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Kevin</cp:lastModifiedBy>
  <cp:lastPrinted>2023-01-17T17:17:55Z</cp:lastPrinted>
  <dcterms:created xsi:type="dcterms:W3CDTF">2021-01-21T17:48:37Z</dcterms:created>
  <dcterms:modified xsi:type="dcterms:W3CDTF">2023-01-24T15:23:53Z</dcterms:modified>
  <cp:category/>
  <cp:version/>
  <cp:contentType/>
  <cp:contentStatus/>
</cp:coreProperties>
</file>