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6616" yWindow="65416" windowWidth="29040" windowHeight="8565" activeTab="0"/>
  </bookViews>
  <sheets>
    <sheet name="Monthly Board Report" sheetId="1" r:id="rId1"/>
  </sheets>
  <definedNames>
    <definedName name="_xlnm.Print_Area" localSheetId="0">'Monthly Board Report'!$A$1:$I$30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<sst xmlns="http://schemas.openxmlformats.org/spreadsheetml/2006/main" count="35" uniqueCount="35">
  <si>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Central Workforce Development Board</t>
  </si>
  <si>
    <t>Grants</t>
  </si>
  <si>
    <t>Program Name                   Fiscal Year</t>
  </si>
  <si>
    <t>Total Grant Award</t>
  </si>
  <si>
    <t>Year to Date Expenses</t>
  </si>
  <si>
    <t>Fund Remaining</t>
  </si>
  <si>
    <t>% Remaing of Fund</t>
  </si>
  <si>
    <t>Admin Available</t>
  </si>
  <si>
    <t>Program Availiable</t>
  </si>
  <si>
    <t>Youth PY21                           4/1/2021-6/30/2023</t>
  </si>
  <si>
    <t>Operational  % of Program Spent</t>
  </si>
  <si>
    <t>Program % of Program Spent</t>
  </si>
  <si>
    <t>Dislocated Worker PY21   7/1/2021-6/30/2023</t>
  </si>
  <si>
    <t>Dislocated Worker FY22  10/1/2021-6/30/2023</t>
  </si>
  <si>
    <t>This should be no more than 60%</t>
  </si>
  <si>
    <t>Total Dislocated Worker</t>
  </si>
  <si>
    <t xml:space="preserve">Total Adult </t>
  </si>
  <si>
    <t>Dislocated Worker PY22     7/1/22 - 6/30/24</t>
  </si>
  <si>
    <t>Youth PY22                        4/1/2022-6/30/2024</t>
  </si>
  <si>
    <t>Total Youth</t>
  </si>
  <si>
    <t xml:space="preserve"> </t>
  </si>
  <si>
    <t>Adult PY22 7/1/22-6/30/2024</t>
  </si>
  <si>
    <t>Covid NDWG                           4/1/2020-6/30/2023</t>
  </si>
  <si>
    <t>EO-Youth 15%                 7/1/2022-6/30/2023</t>
  </si>
  <si>
    <t>Total All Funding</t>
  </si>
  <si>
    <t>Show Me Heros                                  7/1/2022 - 6/30/2023</t>
  </si>
  <si>
    <t>Adult FY22  10/1/21 - 6/30/23</t>
  </si>
  <si>
    <t>Adult FY23 10/1/23-6/30/2024</t>
  </si>
  <si>
    <t>Dislocated Worker FY22  10/1/2022-6/30/2024</t>
  </si>
  <si>
    <t>Summary by Grant for periods July 1, 2022 to March 31, 2023</t>
  </si>
  <si>
    <t>Work Experience is currently at 26.33%</t>
  </si>
  <si>
    <t>Work Experience is currently at 9.12%</t>
  </si>
  <si>
    <t>Annual Incentives     12/31/2023</t>
  </si>
  <si>
    <t>Transfer Dislocated Worker PY22                7/1/2021-6/30/2023</t>
  </si>
  <si>
    <t>Transfer Dislocated Worker PY22                10/1/2022-6/30/2024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</si>
</sst>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44" fontId="0" fillId="0" borderId="1" xfId="16" applyFont="1" applyBorder="1"/>
    <xf numFmtId="10" fontId="0" fillId="0" borderId="1" xfId="15" applyNumberFormat="1" applyFont="1" applyBorder="1"/>
    <xf numFmtId="44" fontId="0" fillId="0" borderId="0" xfId="16" applyFont="1" applyBorder="1"/>
    <xf numFmtId="10" fontId="0" fillId="0" borderId="0" xfId="15" applyNumberFormat="1" applyFont="1" applyBorder="1"/>
    <xf numFmtId="44" fontId="0" fillId="0" borderId="1" xfId="16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0" fillId="0" borderId="0" xfId="16" applyFont="1" applyFill="1" applyBorder="1"/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Fill="1" applyBorder="1" applyAlignment="1">
      <alignment horizontal="center" wrapText="1"/>
    </xf>
    <xf numFmtId="44" fontId="0" fillId="0" borderId="4" xfId="16" applyFont="1" applyFill="1" applyBorder="1"/>
    <xf numFmtId="10" fontId="0" fillId="0" borderId="4" xfId="15" applyNumberFormat="1" applyFont="1" applyBorder="1"/>
    <xf numFmtId="44" fontId="0" fillId="0" borderId="4" xfId="16" applyFont="1" applyBorder="1"/>
    <xf numFmtId="0" fontId="0" fillId="0" borderId="4" xfId="0" applyBorder="1" applyAlignment="1">
      <alignment horizontal="center" wrapText="1"/>
    </xf>
    <xf numFmtId="10" fontId="0" fillId="0" borderId="4" xfId="15" applyNumberFormat="1" applyFont="1" applyFill="1" applyBorder="1"/>
    <xf numFmtId="0" fontId="0" fillId="2" borderId="4" xfId="0" applyFill="1" applyBorder="1"/>
    <xf numFmtId="44" fontId="0" fillId="2" borderId="4" xfId="16" applyFont="1" applyFill="1" applyBorder="1"/>
    <xf numFmtId="0" fontId="0" fillId="2" borderId="5" xfId="0" applyFill="1" applyBorder="1" applyAlignment="1">
      <alignment horizontal="center" wrapText="1"/>
    </xf>
    <xf numFmtId="44" fontId="0" fillId="2" borderId="5" xfId="16" applyFont="1" applyFill="1" applyBorder="1"/>
    <xf numFmtId="10" fontId="0" fillId="0" borderId="5" xfId="15" applyNumberFormat="1" applyFont="1" applyBorder="1"/>
    <xf numFmtId="44" fontId="0" fillId="0" borderId="5" xfId="16" applyFont="1" applyBorder="1"/>
    <xf numFmtId="0" fontId="0" fillId="3" borderId="6" xfId="0" applyFill="1" applyBorder="1" applyAlignment="1">
      <alignment wrapText="1"/>
    </xf>
    <xf numFmtId="44" fontId="0" fillId="3" borderId="7" xfId="16" applyFont="1" applyFill="1" applyBorder="1"/>
    <xf numFmtId="10" fontId="0" fillId="0" borderId="7" xfId="15" applyNumberFormat="1" applyFont="1" applyFill="1" applyBorder="1"/>
    <xf numFmtId="44" fontId="0" fillId="0" borderId="7" xfId="16" applyFont="1" applyBorder="1"/>
    <xf numFmtId="10" fontId="0" fillId="0" borderId="7" xfId="15" applyNumberFormat="1" applyFont="1" applyBorder="1"/>
    <xf numFmtId="10" fontId="0" fillId="0" borderId="8" xfId="15" applyNumberFormat="1" applyFont="1" applyBorder="1"/>
    <xf numFmtId="44" fontId="0" fillId="0" borderId="9" xfId="16" applyFont="1" applyFill="1" applyBorder="1"/>
    <xf numFmtId="10" fontId="0" fillId="0" borderId="9" xfId="15" applyNumberFormat="1" applyFont="1" applyBorder="1"/>
    <xf numFmtId="44" fontId="0" fillId="0" borderId="9" xfId="16" applyFont="1" applyBorder="1"/>
    <xf numFmtId="10" fontId="0" fillId="0" borderId="10" xfId="15" applyNumberFormat="1" applyFont="1" applyBorder="1"/>
    <xf numFmtId="2" fontId="0" fillId="0" borderId="4" xfId="16" applyNumberFormat="1" applyFont="1" applyFill="1" applyBorder="1"/>
    <xf numFmtId="0" fontId="0" fillId="0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Border="1"/>
    <xf numFmtId="9" fontId="0" fillId="0" borderId="1" xfId="15" applyFont="1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 topLeftCell="A1">
      <pane ySplit="7" topLeftCell="A8" activePane="bottomLeft" state="frozen"/>
      <selection pane="bottomLeft" activeCell="A19" sqref="A19"/>
    </sheetView>
  </sheetViews>
  <sheetFormatPr defaultColWidth="9.140625" defaultRowHeight="15"/>
  <cols>
    <col min="1" max="1" width="24.57421875" style="0" customWidth="1"/>
    <col min="2" max="4" width="14.28125" style="0" bestFit="1" customWidth="1"/>
    <col min="5" max="5" width="12.7109375" style="0" customWidth="1"/>
    <col min="6" max="6" width="13.421875" style="0" bestFit="1" customWidth="1"/>
    <col min="7" max="7" width="19.00390625" style="0" bestFit="1" customWidth="1"/>
    <col min="8" max="8" width="14.7109375" style="0" customWidth="1"/>
    <col min="9" max="9" width="15.00390625" style="0" customWidth="1"/>
    <col min="10" max="10" width="52.7109375" style="0" customWidth="1"/>
  </cols>
  <sheetData>
    <row r="1" spans="1:9" ht="2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ht="21">
      <c r="A3" s="46" t="s">
        <v>29</v>
      </c>
      <c r="B3" s="46"/>
      <c r="C3" s="46"/>
      <c r="D3" s="46"/>
      <c r="E3" s="46"/>
      <c r="F3" s="46"/>
      <c r="G3" s="46"/>
      <c r="H3" s="46"/>
      <c r="I3" s="46"/>
    </row>
    <row r="4" spans="1:9" ht="21">
      <c r="A4" s="17" t="s">
        <v>20</v>
      </c>
      <c r="B4" s="17"/>
      <c r="C4" s="46"/>
      <c r="D4" s="46"/>
      <c r="E4" s="46"/>
      <c r="F4" s="46"/>
      <c r="G4" s="17"/>
      <c r="H4" s="17"/>
      <c r="I4" s="17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46.5">
      <c r="A6" s="1"/>
      <c r="B6" s="1"/>
      <c r="C6" s="1"/>
      <c r="D6" s="1"/>
      <c r="E6" s="1"/>
      <c r="F6" s="1"/>
      <c r="G6" s="1"/>
      <c r="H6" s="16" t="s">
        <v>14</v>
      </c>
      <c r="I6" s="16"/>
    </row>
    <row r="7" spans="1:9" ht="45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10</v>
      </c>
      <c r="I7" s="11" t="s">
        <v>11</v>
      </c>
    </row>
    <row r="8" spans="1:9" ht="30.75" customHeight="1">
      <c r="A8" s="23" t="s">
        <v>26</v>
      </c>
      <c r="B8" s="22">
        <v>993903</v>
      </c>
      <c r="C8" s="22">
        <v>993903</v>
      </c>
      <c r="D8" s="22">
        <f>B8-C8</f>
        <v>0</v>
      </c>
      <c r="E8" s="21">
        <f>D8/B8</f>
        <v>0</v>
      </c>
      <c r="F8" s="22">
        <f>99390-99390</f>
        <v>0</v>
      </c>
      <c r="G8" s="22">
        <f>894513-894513</f>
        <v>0</v>
      </c>
      <c r="H8" s="24">
        <f>(389224.19+79964.66+9152.07)/894513</f>
        <v>0.5347501042466682</v>
      </c>
      <c r="I8" s="21">
        <f>(293362.19+6724.95+50353.99+60598.67+5132.28)/894513</f>
        <v>0.4652498957533317</v>
      </c>
    </row>
    <row r="9" spans="1:9" ht="30.75" customHeight="1">
      <c r="A9" s="23" t="s">
        <v>21</v>
      </c>
      <c r="B9" s="22">
        <v>198270</v>
      </c>
      <c r="C9" s="22">
        <v>198270</v>
      </c>
      <c r="D9" s="22">
        <f>B9-C9</f>
        <v>0</v>
      </c>
      <c r="E9" s="21">
        <f>D9/B9</f>
        <v>0</v>
      </c>
      <c r="F9" s="22">
        <f>19827-19827</f>
        <v>0</v>
      </c>
      <c r="G9" s="22">
        <f>178443-178443</f>
        <v>0</v>
      </c>
      <c r="H9" s="24">
        <f>(93652.79+5015.33+3828.68)/178443</f>
        <v>0.5743951850170642</v>
      </c>
      <c r="I9" s="21">
        <f>(43408+17538.2+15000)/178443</f>
        <v>0.42560481498293573</v>
      </c>
    </row>
    <row r="10" spans="1:9" ht="30.75" customHeight="1">
      <c r="A10" s="23" t="s">
        <v>27</v>
      </c>
      <c r="B10" s="22">
        <v>886034</v>
      </c>
      <c r="C10" s="22">
        <v>328818.7</v>
      </c>
      <c r="D10" s="22">
        <f>B10-C10</f>
        <v>557215.3</v>
      </c>
      <c r="E10" s="21">
        <f>D10/B10</f>
        <v>0.6288870404521724</v>
      </c>
      <c r="F10" s="22">
        <f>88600-3358.88</f>
        <v>85241.12</v>
      </c>
      <c r="G10" s="22">
        <f>797434-325459.82</f>
        <v>471974.18</v>
      </c>
      <c r="H10" s="24">
        <f>(100909.34+17032.76+3065.86)/325459.82</f>
        <v>0.3718061418457123</v>
      </c>
      <c r="I10" s="21">
        <f>(155722.26+10559.91+5223.44+22851.35+10044.9)/325459.82</f>
        <v>0.6280402293591879</v>
      </c>
    </row>
    <row r="11" spans="1:9" ht="29.25" customHeight="1">
      <c r="A11" s="25" t="s">
        <v>16</v>
      </c>
      <c r="B11" s="26">
        <f>SUM(B8:B10)</f>
        <v>2078207</v>
      </c>
      <c r="C11" s="26">
        <f>SUM(C8:C10)</f>
        <v>1520991.7</v>
      </c>
      <c r="D11" s="26">
        <f>SUM(D8:D10)</f>
        <v>557215.3</v>
      </c>
      <c r="E11" s="24"/>
      <c r="F11" s="22"/>
      <c r="G11" s="22"/>
      <c r="H11" s="21"/>
      <c r="I11" s="21"/>
    </row>
    <row r="12" spans="1:9" ht="15">
      <c r="A12" s="10"/>
      <c r="B12" s="4"/>
      <c r="C12" s="4"/>
      <c r="D12" s="4"/>
      <c r="E12" s="5"/>
      <c r="F12" s="4"/>
      <c r="G12" s="4"/>
      <c r="H12" s="5"/>
      <c r="I12" s="5"/>
    </row>
    <row r="13" spans="1:9" ht="30">
      <c r="A13" s="19" t="s">
        <v>12</v>
      </c>
      <c r="B13" s="20">
        <v>139910</v>
      </c>
      <c r="C13" s="20">
        <v>139910</v>
      </c>
      <c r="D13" s="20">
        <f aca="true" t="shared" si="0" ref="D13:D18">B13-C13</f>
        <v>0</v>
      </c>
      <c r="E13" s="21">
        <f>D13/B13</f>
        <v>0</v>
      </c>
      <c r="F13" s="22">
        <f>13990-13990</f>
        <v>0</v>
      </c>
      <c r="G13" s="20">
        <f>125920-125920</f>
        <v>0</v>
      </c>
      <c r="H13" s="21">
        <f>(54498.3+8972.94+10993.65)/125920</f>
        <v>0.5913666613722999</v>
      </c>
      <c r="I13" s="21">
        <f>(265.43+33028+5157.5+13004.18)/125920</f>
        <v>0.4086333386277001</v>
      </c>
    </row>
    <row r="14" spans="1:9" ht="30">
      <c r="A14" s="19" t="s">
        <v>13</v>
      </c>
      <c r="B14" s="20">
        <f>59530+364820</f>
        <v>424350</v>
      </c>
      <c r="C14" s="20">
        <f>10163.58+280712.48</f>
        <v>290876.06</v>
      </c>
      <c r="D14" s="20">
        <f t="shared" si="0"/>
        <v>133473.94</v>
      </c>
      <c r="E14" s="21">
        <f>D14/B14</f>
        <v>0.31453738659125724</v>
      </c>
      <c r="F14" s="22">
        <f>59530-10163.58</f>
        <v>49366.42</v>
      </c>
      <c r="G14" s="20">
        <f>364820-280712.48</f>
        <v>84107.52000000002</v>
      </c>
      <c r="H14" s="21">
        <f>(76864.93+8847.93+23164.17)/280712.48</f>
        <v>0.38785959925971225</v>
      </c>
      <c r="I14" s="21">
        <f>(1277.84+21389.73+2499.45+136196+4845.59+5626.84)/280712.48</f>
        <v>0.6121404007402876</v>
      </c>
    </row>
    <row r="15" spans="1:9" ht="45">
      <c r="A15" s="19" t="s">
        <v>33</v>
      </c>
      <c r="B15" s="20">
        <f>105975+65000</f>
        <v>170975</v>
      </c>
      <c r="C15" s="20">
        <v>170839.52</v>
      </c>
      <c r="D15" s="20">
        <f t="shared" si="0"/>
        <v>135.48000000001048</v>
      </c>
      <c r="E15" s="21">
        <f>D15/B15</f>
        <v>0.0007923965492031611</v>
      </c>
      <c r="F15" s="22"/>
      <c r="G15" s="20"/>
      <c r="H15" s="21"/>
      <c r="I15" s="21"/>
    </row>
    <row r="16" spans="1:9" s="9" customFormat="1" ht="28.5" customHeight="1">
      <c r="A16" s="19" t="s">
        <v>17</v>
      </c>
      <c r="B16" s="20">
        <v>133066</v>
      </c>
      <c r="C16" s="20">
        <v>47224.94</v>
      </c>
      <c r="D16" s="20">
        <f t="shared" si="0"/>
        <v>85841.06</v>
      </c>
      <c r="E16" s="21">
        <f>D16/B16</f>
        <v>0.6451013782634182</v>
      </c>
      <c r="F16" s="22">
        <f>13306-0</f>
        <v>13306</v>
      </c>
      <c r="G16" s="20">
        <f>119760-47224.94</f>
        <v>72535.06</v>
      </c>
      <c r="H16" s="21">
        <f>(28868.17+6993.98+0)/47224.94</f>
        <v>0.7593900595744535</v>
      </c>
      <c r="I16" s="21">
        <f>(10575.95+786.84)/47224.94</f>
        <v>0.24060994042554634</v>
      </c>
    </row>
    <row r="17" spans="1:9" ht="28.5" customHeight="1">
      <c r="A17" s="19" t="s">
        <v>28</v>
      </c>
      <c r="B17" s="20">
        <f>535795-95000</f>
        <v>440795</v>
      </c>
      <c r="C17" s="20">
        <v>0</v>
      </c>
      <c r="D17" s="20">
        <f t="shared" si="0"/>
        <v>440795</v>
      </c>
      <c r="E17" s="21"/>
      <c r="F17" s="22"/>
      <c r="G17" s="41"/>
      <c r="H17" s="21"/>
      <c r="I17" s="21"/>
    </row>
    <row r="18" spans="1:9" ht="45">
      <c r="A18" s="42" t="s">
        <v>34</v>
      </c>
      <c r="B18" s="37">
        <v>95000</v>
      </c>
      <c r="C18" s="37">
        <v>67221.65</v>
      </c>
      <c r="D18" s="37">
        <f t="shared" si="0"/>
        <v>27778.350000000006</v>
      </c>
      <c r="E18" s="38">
        <f>D18/B18</f>
        <v>0.29240368421052637</v>
      </c>
      <c r="F18" s="39"/>
      <c r="G18" s="37"/>
      <c r="H18" s="38"/>
      <c r="I18" s="40"/>
    </row>
    <row r="19" spans="1:9" ht="15">
      <c r="A19" s="43" t="s">
        <v>15</v>
      </c>
      <c r="B19" s="26">
        <f>SUM(B13:B15)</f>
        <v>735235</v>
      </c>
      <c r="C19" s="26">
        <f>SUM(C13:C15)</f>
        <v>601625.58</v>
      </c>
      <c r="D19" s="26">
        <f>SUM(D13:D15)</f>
        <v>133609.42</v>
      </c>
      <c r="E19" s="24"/>
      <c r="F19" s="44"/>
      <c r="G19" s="20"/>
      <c r="H19" s="44"/>
      <c r="I19" s="44"/>
    </row>
    <row r="20" spans="1:9" ht="15">
      <c r="A20" s="12"/>
      <c r="B20" s="13"/>
      <c r="C20" s="13"/>
      <c r="D20" s="13"/>
      <c r="E20" s="5"/>
      <c r="F20" s="9"/>
      <c r="G20" s="13"/>
      <c r="H20" s="9"/>
      <c r="I20" s="9"/>
    </row>
    <row r="21" spans="1:10" ht="28.5" customHeight="1">
      <c r="A21" s="19" t="s">
        <v>9</v>
      </c>
      <c r="B21" s="20">
        <v>1463193</v>
      </c>
      <c r="C21" s="20">
        <v>1453977</v>
      </c>
      <c r="D21" s="20">
        <f>B21-C21</f>
        <v>9216</v>
      </c>
      <c r="E21" s="24">
        <f>D21/B21</f>
        <v>0.006298553915990577</v>
      </c>
      <c r="F21" s="22">
        <f>146319-146319</f>
        <v>0</v>
      </c>
      <c r="G21" s="22">
        <f>(569400.51+747473.49)-(560543.9+747114.1)</f>
        <v>9216</v>
      </c>
      <c r="H21" s="21">
        <f>(236866.54+25678.34+12740.81+317301.69+27704.57+23232.85)/(569400.51+747473.49)</f>
        <v>0.48867606164295135</v>
      </c>
      <c r="I21" s="21">
        <f>(59411.25+121272.73+42062.33+813.76+23324.65+4305+31500+2568.49+143583.96+119245.54+52798.99+1207.01+20375.75+3350+31500+6813.74)/(569400.51+747473.49)</f>
        <v>0.5043255467113785</v>
      </c>
      <c r="J21" s="18" t="s">
        <v>30</v>
      </c>
    </row>
    <row r="22" spans="1:10" ht="28.5" customHeight="1">
      <c r="A22" s="19" t="s">
        <v>18</v>
      </c>
      <c r="B22" s="20">
        <v>1316873</v>
      </c>
      <c r="C22" s="20">
        <v>335487.55</v>
      </c>
      <c r="D22" s="20">
        <f>B22-C22</f>
        <v>981385.45</v>
      </c>
      <c r="E22" s="21">
        <f>D22/B22</f>
        <v>0.7452392523804497</v>
      </c>
      <c r="F22" s="22">
        <f>(131685-15077.49)</f>
        <v>116607.51</v>
      </c>
      <c r="G22" s="22">
        <f>(524075+661113)-(164750.82+155659.24)</f>
        <v>864777.94</v>
      </c>
      <c r="H22" s="21">
        <f>(45590.65+11497.43+50827.98+10283.23+482.28)/(524075+661113)</f>
        <v>0.10013733686132495</v>
      </c>
      <c r="I22" s="21">
        <f>(37918.8+40103.66+22395.47+4679.81+2565+46000+12998.32+20907.73+11637.09+1667.96+854.65)/(524075+661113)</f>
        <v>0.17020800919347817</v>
      </c>
      <c r="J22" s="18" t="s">
        <v>31</v>
      </c>
    </row>
    <row r="23" spans="1:9" ht="15.75" thickBot="1">
      <c r="A23" s="27" t="s">
        <v>19</v>
      </c>
      <c r="B23" s="28">
        <f>SUM(B21:B22)</f>
        <v>2780066</v>
      </c>
      <c r="C23" s="28">
        <f aca="true" t="shared" si="1" ref="C23:D23">SUM(C21:C22)</f>
        <v>1789464.55</v>
      </c>
      <c r="D23" s="28">
        <f t="shared" si="1"/>
        <v>990601.45</v>
      </c>
      <c r="E23" s="29"/>
      <c r="F23" s="30"/>
      <c r="G23" s="30"/>
      <c r="H23" s="29"/>
      <c r="I23" s="29"/>
    </row>
    <row r="24" spans="1:9" ht="36" customHeight="1" thickBot="1">
      <c r="A24" s="31" t="s">
        <v>24</v>
      </c>
      <c r="B24" s="32">
        <f>B11+B19+B23</f>
        <v>5593508</v>
      </c>
      <c r="C24" s="32">
        <f aca="true" t="shared" si="2" ref="C24:D24">C11+C19+C23</f>
        <v>3912081.83</v>
      </c>
      <c r="D24" s="32">
        <f t="shared" si="2"/>
        <v>1681426.17</v>
      </c>
      <c r="E24" s="33"/>
      <c r="F24" s="34"/>
      <c r="G24" s="34"/>
      <c r="H24" s="35"/>
      <c r="I24" s="36"/>
    </row>
    <row r="25" spans="1:9" ht="38.25" customHeight="1" thickBot="1">
      <c r="A25" s="12"/>
      <c r="B25" s="13"/>
      <c r="C25" s="13"/>
      <c r="D25" s="13"/>
      <c r="E25" s="5"/>
      <c r="F25" s="4"/>
      <c r="G25" s="4"/>
      <c r="H25" s="5"/>
      <c r="I25" s="5"/>
    </row>
    <row r="26" spans="1:9" ht="30.75" thickBot="1">
      <c r="A26" s="15" t="s">
        <v>22</v>
      </c>
      <c r="B26" s="6">
        <v>150818</v>
      </c>
      <c r="C26" s="6">
        <v>126961.69</v>
      </c>
      <c r="D26" s="6">
        <f aca="true" t="shared" si="3" ref="D26:D28">B26-C26</f>
        <v>23856.309999999998</v>
      </c>
      <c r="E26" s="3">
        <f aca="true" t="shared" si="4" ref="E26:E28">D26/B26</f>
        <v>0.15817946133750613</v>
      </c>
      <c r="F26" s="2"/>
      <c r="G26" s="2"/>
      <c r="H26" s="7"/>
      <c r="I26" s="8"/>
    </row>
    <row r="27" spans="1:9" ht="15.75" thickBot="1">
      <c r="A27" s="12"/>
      <c r="B27" s="13"/>
      <c r="C27" s="13"/>
      <c r="D27" s="13"/>
      <c r="E27" s="5"/>
      <c r="F27" s="4"/>
      <c r="G27" s="4"/>
      <c r="H27" s="9"/>
      <c r="I27" s="9"/>
    </row>
    <row r="28" spans="1:9" ht="30.75" thickBot="1">
      <c r="A28" s="15" t="s">
        <v>23</v>
      </c>
      <c r="B28" s="6">
        <v>25000</v>
      </c>
      <c r="C28" s="6">
        <v>17436.18</v>
      </c>
      <c r="D28" s="6">
        <f t="shared" si="3"/>
        <v>7563.82</v>
      </c>
      <c r="E28" s="3">
        <f t="shared" si="4"/>
        <v>0.3025528</v>
      </c>
      <c r="F28" s="2"/>
      <c r="G28" s="2"/>
      <c r="H28" s="7"/>
      <c r="I28" s="8"/>
    </row>
    <row r="29" ht="15.75" thickBot="1">
      <c r="E29" s="5"/>
    </row>
    <row r="30" spans="1:9" ht="30.75" thickBot="1">
      <c r="A30" s="14" t="s">
        <v>25</v>
      </c>
      <c r="B30" s="2">
        <v>20000</v>
      </c>
      <c r="C30" s="2">
        <v>8536.49</v>
      </c>
      <c r="D30" s="2">
        <f>B30-C30</f>
        <v>11463.51</v>
      </c>
      <c r="E30" s="3">
        <f>D30/B30</f>
        <v>0.5731755000000001</v>
      </c>
      <c r="F30" s="7"/>
      <c r="G30" s="7"/>
      <c r="H30" s="7"/>
      <c r="I30" s="8"/>
    </row>
    <row r="31" ht="15.75" thickBot="1">
      <c r="E31" s="9"/>
    </row>
    <row r="32" spans="1:9" ht="30.75" thickBot="1">
      <c r="A32" s="14" t="s">
        <v>32</v>
      </c>
      <c r="B32" s="2">
        <v>75000</v>
      </c>
      <c r="C32" s="2">
        <v>0</v>
      </c>
      <c r="D32" s="2">
        <f>B32-C32</f>
        <v>75000</v>
      </c>
      <c r="E32" s="45">
        <f>D32/B32</f>
        <v>1</v>
      </c>
      <c r="F32" s="7"/>
      <c r="G32" s="7"/>
      <c r="H32" s="7"/>
      <c r="I32" s="8"/>
    </row>
  </sheetData>
  <mergeCells count="4">
    <mergeCell ref="A1:I1"/>
    <mergeCell ref="A2:I2"/>
    <mergeCell ref="A3:I3"/>
    <mergeCell ref="C4:F4"/>
  </mergeCells>
  <printOptions/>
  <pageMargins left="0.2" right="0.2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SCWIB Fiscal</dc:creator>
  <cp:keywords/>
  <dc:description/>
  <cp:lastModifiedBy>donnas</cp:lastModifiedBy>
  <cp:lastPrinted>2023-01-17T17:17:55Z</cp:lastPrinted>
  <dcterms:created xsi:type="dcterms:W3CDTF">2021-01-21T17:48:37Z</dcterms:created>
  <dcterms:modified xsi:type="dcterms:W3CDTF">2023-05-01T13:45:09Z</dcterms:modified>
  <cp:category/>
  <cp:version/>
  <cp:contentType/>
  <cp:contentStatus/>
</cp:coreProperties>
</file>